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Deal" sheetId="2" state="visible" r:id="rId4"/>
    <sheet name="2 Rents" sheetId="3" state="visible" r:id="rId5"/>
    <sheet name="3 Expenses" sheetId="4" state="visible" r:id="rId6"/>
    <sheet name="4 County &amp; Tax" sheetId="5" state="visible" r:id="rId7"/>
    <sheet name="5 Inspect" sheetId="6" state="visible" r:id="rId8"/>
    <sheet name="6 Metrics" sheetId="7" state="visible" r:id="rId9"/>
    <sheet name="7 Upside" sheetId="8" state="visible" r:id="rId10"/>
    <sheet name="8 Offer" sheetId="9" state="visible" r:id="rId11"/>
    <sheet name="Report" sheetId="10" state="visible" r:id="rId12"/>
  </sheets>
  <definedNames>
    <definedName function="false" hidden="false" localSheetId="9" name="_xlnm.Print_Area" vbProcedure="false">Report!$A$1:$G$36</definedName>
    <definedName function="false" hidden="false" name="AllIn_Cur" vbProcedure="false">'6 Metrics'!$B$19</definedName>
    <definedName function="false" hidden="false" name="AllIn_Stab" vbProcedure="false">'6 Metrics'!$C$19</definedName>
    <definedName function="false" hidden="false" name="Alt_Amort" vbProcedure="false">'8 Offer'!$B$50</definedName>
    <definedName function="false" hidden="false" name="Alt_Down" vbProcedure="false">'8 Offer'!$B$52</definedName>
    <definedName function="false" hidden="false" name="Alt_IO" vbProcedure="false">'8 Offer'!$B$51</definedName>
    <definedName function="false" hidden="false" name="Alt_K" vbProcedure="false">'8 Offer'!$B$53</definedName>
    <definedName function="false" hidden="false" name="Alt_MaxCoC" vbProcedure="false">'8 Offer'!$B$55</definedName>
    <definedName function="false" hidden="false" name="Alt_MaxDSCR" vbProcedure="false">'8 Offer'!$B$54</definedName>
    <definedName function="false" hidden="false" name="Alt_Rate" vbProcedure="false">'8 Offer'!$B$49</definedName>
    <definedName function="false" hidden="false" name="Alt_WalkAway" vbProcedure="false">'8 Offer'!$B$56</definedName>
    <definedName function="false" hidden="false" name="AmortYears" vbProcedure="false">'1 Deal'!$B$19</definedName>
    <definedName function="false" hidden="false" name="AnalysisYear" vbProcedure="false">'1 Deal'!$B$13</definedName>
    <definedName function="false" hidden="false" name="AskingPrice" vbProcedure="false">'1 Deal'!$B$8</definedName>
    <definedName function="false" hidden="false" name="Ask_Gap" vbProcedure="false">'8 Offer'!$B$46</definedName>
    <definedName function="false" hidden="false" name="BB_CapCurrent" vbProcedure="false">'1 Deal'!$B$29</definedName>
    <definedName function="false" hidden="false" name="BB_CapStab" vbProcedure="false">'1 Deal'!$B$30</definedName>
    <definedName function="false" hidden="false" name="BB_CoC" vbProcedure="false">'1 Deal'!$B$27</definedName>
    <definedName function="false" hidden="false" name="BB_DSCR" vbProcedure="false">'1 Deal'!$B$28</definedName>
    <definedName function="false" hidden="false" name="BB_PPU" vbProcedure="false">'1 Deal'!$B$31</definedName>
    <definedName function="false" hidden="false" name="BEO_Cur" vbProcedure="false">'6 Metrics'!$B$18</definedName>
    <definedName function="false" hidden="false" name="BldgSqft" vbProcedure="false">'1 Deal'!$B$10</definedName>
    <definedName function="false" hidden="false" name="CapEx_NewFindings" vbProcedure="false">'5 Inspect'!$I$31</definedName>
    <definedName function="false" hidden="false" name="CapEx_Now" vbProcedure="false">'5 Inspect'!$I$29</definedName>
    <definedName function="false" hidden="false" name="CapEx_Soon" vbProcedure="false">'5 Inspect'!$I$30</definedName>
    <definedName function="false" hidden="false" name="Cap_Cur" vbProcedure="false">'6 Metrics'!$B$12</definedName>
    <definedName function="false" hidden="false" name="Cap_Stab" vbProcedure="false">'6 Metrics'!$C$12</definedName>
    <definedName function="false" hidden="false" name="CashIn_Cur" vbProcedure="false">'6 Metrics'!$B$16</definedName>
    <definedName function="false" hidden="false" name="CashIn_Stab" vbProcedure="false">'6 Metrics'!$C$16</definedName>
    <definedName function="false" hidden="false" name="CF_Cur" vbProcedure="false">'6 Metrics'!$B$15</definedName>
    <definedName function="false" hidden="false" name="CF_Stab" vbProcedure="false">'6 Metrics'!$C$15</definedName>
    <definedName function="false" hidden="false" name="ClosingPct" vbProcedure="false">'1 Deal'!$B$20</definedName>
    <definedName function="false" hidden="false" name="CoC_Cur" vbProcedure="false">'6 Metrics'!$B$17</definedName>
    <definedName function="false" hidden="false" name="CoC_Stab" vbProcedure="false">'6 Metrics'!$C$17</definedName>
    <definedName function="false" hidden="false" name="CreditAsk" vbProcedure="false">'8 Offer'!$B$39</definedName>
    <definedName function="false" hidden="false" name="DD_Issues" vbProcedure="false">'5 Inspect'!$C$54</definedName>
    <definedName function="false" hidden="false" name="DD_Open" vbProcedure="false">'5 Inspect'!$C$53</definedName>
    <definedName function="false" hidden="false" name="DebtConstant" vbProcedure="false">'1 Deal'!$B$24</definedName>
    <definedName function="false" hidden="false" name="DebtService" vbProcedure="false">'1 Deal'!$B$23</definedName>
    <definedName function="false" hidden="false" name="DOM" vbProcedure="false">'1 Deal'!$B$12</definedName>
    <definedName function="false" hidden="false" name="DownPct" vbProcedure="false">'1 Deal'!$B$17</definedName>
    <definedName function="false" hidden="false" name="DSCR_Cur" vbProcedure="false">'6 Metrics'!$B$14</definedName>
    <definedName function="false" hidden="false" name="DSCR_Stab" vbProcedure="false">'6 Metrics'!$C$14</definedName>
    <definedName function="false" hidden="false" name="EGI_Cur" vbProcedure="false">'3 Expenses'!$E$10</definedName>
    <definedName function="false" hidden="false" name="EGI_Stab" vbProcedure="false">'3 Expenses'!$F$10</definedName>
    <definedName function="false" hidden="false" name="ExpRatio_Cur" vbProcedure="false">'3 Expenses'!$E$30</definedName>
    <definedName function="false" hidden="false" name="GPR_Cur" vbProcedure="false">'3 Expenses'!$E$6</definedName>
    <definedName function="false" hidden="false" name="GPR_Cur_Mo" vbProcedure="false">'2 Rents'!$E$26</definedName>
    <definedName function="false" hidden="false" name="GPR_Stab" vbProcedure="false">'3 Expenses'!$F$6</definedName>
    <definedName function="false" hidden="false" name="GPR_Stab_Mo" vbProcedure="false">'2 Rents'!$N$26</definedName>
    <definedName function="false" hidden="false" name="GRM_Cur" vbProcedure="false">'6 Metrics'!$B$8</definedName>
    <definedName function="false" hidden="false" name="Loan" vbProcedure="false">'1 Deal'!$B$22</definedName>
    <definedName function="false" hidden="false" name="LTV" vbProcedure="false">'1 Deal'!$B$21</definedName>
    <definedName function="false" hidden="false" name="MaxP_Cap" vbProcedure="false">'8 Offer'!$B$10</definedName>
    <definedName function="false" hidden="false" name="MaxP_CoC" vbProcedure="false">'8 Offer'!$B$9</definedName>
    <definedName function="false" hidden="false" name="MaxP_DSCR" vbProcedure="false">'8 Offer'!$B$8</definedName>
    <definedName function="false" hidden="false" name="MaxP_PPU" vbProcedure="false">'8 Offer'!$B$11</definedName>
    <definedName function="false" hidden="false" name="Mgmt_Cur" vbProcedure="false">'3 Expenses'!$E$22</definedName>
    <definedName function="false" hidden="false" name="Mgmt_Pct" vbProcedure="false">'3 Expenses'!$C$22</definedName>
    <definedName function="false" hidden="false" name="Mkt_STL" vbProcedure="false">'8 Offer'!$B$36</definedName>
    <definedName function="false" hidden="false" name="Mot_Count" vbProcedure="false">'8 Offer'!$D$34</definedName>
    <definedName function="false" hidden="false" name="NOI_Cur" vbProcedure="false">'3 Expenses'!$E$29</definedName>
    <definedName function="false" hidden="false" name="NOI_Gap" vbProcedure="false">'3 Expenses'!$B$32</definedName>
    <definedName function="false" hidden="false" name="NOI_PreTax" vbProcedure="false">'8 Offer'!$B$6</definedName>
    <definedName function="false" hidden="false" name="NOI_Stab" vbProcedure="false">'3 Expenses'!$F$29</definedName>
    <definedName function="false" hidden="false" name="OfferOpen" vbProcedure="false">'8 Offer'!$B$42</definedName>
    <definedName function="false" hidden="false" name="OfferTarget" vbProcedure="false">'8 Offer'!$B$43</definedName>
    <definedName function="false" hidden="false" name="OpEx_Cur" vbProcedure="false">'3 Expenses'!$E$28</definedName>
    <definedName function="false" hidden="false" name="OpEx_Stab" vbProcedure="false">'3 Expenses'!$F$28</definedName>
    <definedName function="false" hidden="false" name="Other_Cur" vbProcedure="false">'3 Expenses'!$E$7</definedName>
    <definedName function="false" hidden="false" name="Other_Stab" vbProcedure="false">'3 Expenses'!$F$7</definedName>
    <definedName function="false" hidden="false" name="PPU" vbProcedure="false">'6 Metrics'!$B$7</definedName>
    <definedName function="false" hidden="false" name="Price" vbProcedure="false">'1 Deal'!$B$16</definedName>
    <definedName function="false" hidden="false" name="Rate" vbProcedure="false">'1 Deal'!$B$18</definedName>
    <definedName function="false" hidden="false" name="RentGap_Mo" vbProcedure="false">'2 Rents'!$L$26</definedName>
    <definedName function="false" hidden="false" name="RentGap_Pct" vbProcedure="false">'2 Rents'!$M$26</definedName>
    <definedName function="false" hidden="false" name="RR_Units" vbProcedure="false">'2 Rents'!$D$26</definedName>
    <definedName function="false" hidden="false" name="Seller_Cap" vbProcedure="false">'3 Expenses'!$B$31</definedName>
    <definedName function="false" hidden="false" name="Seller_EGI" vbProcedure="false">'3 Expenses'!$B$10</definedName>
    <definedName function="false" hidden="false" name="Seller_NOI" vbProcedure="false">'3 Expenses'!$B$29</definedName>
    <definedName function="false" hidden="false" name="Seller_OpEx" vbProcedure="false">'3 Expenses'!$B$28</definedName>
    <definedName function="false" hidden="false" name="Seller_Vac" vbProcedure="false">'3 Expenses'!$B$8</definedName>
    <definedName function="false" hidden="false" name="Sh_Exp" vbProcedure="false">'6 Metrics'!$B$25</definedName>
    <definedName function="false" hidden="false" name="Sh_Rate" vbProcedure="false">'6 Metrics'!$B$24</definedName>
    <definedName function="false" hidden="false" name="Sh_Rent" vbProcedure="false">'6 Metrics'!$E$25</definedName>
    <definedName function="false" hidden="false" name="Sh_Vac" vbProcedure="false">'6 Metrics'!$E$24</definedName>
    <definedName function="false" hidden="false" name="Tax_Check" vbProcedure="false">'4 County &amp; Tax'!$B$38</definedName>
    <definedName function="false" hidden="false" name="Tax_CurMV" vbProcedure="false">'4 County &amp; Tax'!$B$30</definedName>
    <definedName function="false" hidden="false" name="Tax_DayOne" vbProcedure="false">'4 County &amp; Tax'!$B$39</definedName>
    <definedName function="false" hidden="false" name="Tax_EffOnPrice" vbProcedure="false">'4 County &amp; Tax'!$B$44</definedName>
    <definedName function="false" hidden="false" name="Tax_Eq" vbProcedure="false">'4 County &amp; Tax'!$B$32</definedName>
    <definedName function="false" hidden="false" name="Tax_Exempt" vbProcedure="false">'4 County &amp; Tax'!$B$34</definedName>
    <definedName function="false" hidden="false" name="Tax_Level" vbProcedure="false">'4 County &amp; Tax'!$B$31</definedName>
    <definedName function="false" hidden="false" name="Tax_Mode" vbProcedure="false">'4 County &amp; Tax'!$B$42</definedName>
    <definedName function="false" hidden="false" name="Tax_NextYear" vbProcedure="false">'4 County &amp; Tax'!$B$35</definedName>
    <definedName function="false" hidden="false" name="Tax_PriceBased" vbProcedure="false">'4 County &amp; Tax'!$B$45</definedName>
    <definedName function="false" hidden="false" name="Tax_Rate" vbProcedure="false">'4 County &amp; Tax'!$B$33</definedName>
    <definedName function="false" hidden="false" name="Tax_Reassessed" vbProcedure="false">'4 County &amp; Tax'!$B$40</definedName>
    <definedName function="false" hidden="false" name="Tax_SellerBill" vbProcedure="false">'4 County &amp; Tax'!$B$29</definedName>
    <definedName function="false" hidden="false" name="Tax_T" vbProcedure="false">'8 Offer'!$B$7</definedName>
    <definedName function="false" hidden="false" name="Tax_Underwrite" vbProcedure="false">'4 County &amp; Tax'!$B$43</definedName>
    <definedName function="false" hidden="false" name="Units" vbProcedure="false">'1 Deal'!$B$7</definedName>
    <definedName function="false" hidden="false" name="Util_Elec" vbProcedure="false">'5 Inspect'!$E$8</definedName>
    <definedName function="false" hidden="false" name="Util_Heat" vbProcedure="false">'5 Inspect'!$E$6</definedName>
    <definedName function="false" hidden="false" name="Util_Trash" vbProcedure="false">'5 Inspect'!$E$9</definedName>
    <definedName function="false" hidden="false" name="Util_Water" vbProcedure="false">'5 Inspect'!$E$7</definedName>
    <definedName function="false" hidden="false" name="Vac_Cur" vbProcedure="false">'3 Expenses'!$E$8</definedName>
    <definedName function="false" hidden="false" name="Vac_Stab" vbProcedure="false">'3 Expenses'!$F$8</definedName>
    <definedName function="false" hidden="false" name="ValueCap" vbProcedure="false">'7 Upside'!$G$19</definedName>
    <definedName function="false" hidden="false" name="VA_Cost" vbProcedure="false">'7 Upside'!$D$17</definedName>
    <definedName function="false" hidden="false" name="VA_OtherIncome" vbProcedure="false">'7 Upside'!$G$18</definedName>
    <definedName function="false" hidden="false" name="VA_RentLift" vbProcedure="false">'7 Upside'!$G$6</definedName>
    <definedName function="false" hidden="false" name="VA_TotalIncome" vbProcedure="false">'7 Upside'!$G$17</definedName>
    <definedName function="false" hidden="false" name="VA_Value" vbProcedure="false">'7 Upside'!$H$17</definedName>
    <definedName function="false" hidden="false" name="WalkAway" vbProcedure="false">'8 Offer'!$B$12</definedName>
    <definedName function="false" hidden="false" name="YearBuilt" vbProcedure="false">'1 Deal'!$B$9</definedName>
    <definedName function="false" hidden="false" name="YoC_Cur" vbProcedure="false">'6 Metrics'!$B$20</definedName>
    <definedName function="false" hidden="false" name="YoC_Stab" vbProcedure="false">'6 Metrics'!$C$20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<sst xmlns="http://schemas.openxmlformats.org/spreadsheetml/2006/main" count="698" uniqueCount="580">
  <si>
    <t xml:space="preserve">From Listing to Offer: Underwriting Template</t>
  </si>
  <si>
    <t xml:space="preserve">Companion to the Underwriting 101 talk by Simon Asselin</t>
  </si>
  <si>
    <t xml:space="preserve">Prepared for the Chicago Creative Investors Association, September 20, 2026</t>
  </si>
  <si>
    <t xml:space="preserve">How to use this workbook</t>
  </si>
  <si>
    <t xml:space="preserve">1. Work the tabs left to right. Each tab is one step of the walkthrough and answers one question.</t>
  </si>
  <si>
    <t xml:space="preserve">2. Only edit the yellow cells with blue text. Black cells are calculated; green cells pull from another tab.</t>
  </si>
  <si>
    <t xml:space="preserve">3. This template is blank: fill in the yellow cells with your deal, tab by tab. Financing, buy box and management start at the talk's defaults (25% down, 7%, 30 years, 3% closing; 8% cash-on-cash, 1.25x DSCR, 6% current and 7% stabilized cap; 8% management). Change them to yours.</t>
  </si>
  <si>
    <t xml:space="preserve">4. The 'Report' tab is your one-page investment summary to send a partner or lender.</t>
  </si>
  <si>
    <t xml:space="preserve">5. Works in Excel and Google Sheets. No Goal Seek or Data Tables needed: max offer and the stress test are built in.</t>
  </si>
  <si>
    <t xml:space="preserve">The 8 steps</t>
  </si>
  <si>
    <t xml:space="preserve">Tab</t>
  </si>
  <si>
    <t xml:space="preserve">Step</t>
  </si>
  <si>
    <t xml:space="preserve">The question it answers</t>
  </si>
  <si>
    <t xml:space="preserve">The blind spot it catches</t>
  </si>
  <si>
    <t xml:space="preserve">1 Deal</t>
  </si>
  <si>
    <t xml:space="preserve">Gather</t>
  </si>
  <si>
    <t xml:space="preserve">What do I actually know, and what is just marketing?</t>
  </si>
  <si>
    <t xml:space="preserve">#1 The listing is a sales document</t>
  </si>
  <si>
    <t xml:space="preserve">2 Rents</t>
  </si>
  <si>
    <t xml:space="preserve">Rents</t>
  </si>
  <si>
    <t xml:space="preserve">What does it earn, and what could it earn?</t>
  </si>
  <si>
    <t xml:space="preserve">#2 Rents the market won't support</t>
  </si>
  <si>
    <t xml:space="preserve">3 Expenses</t>
  </si>
  <si>
    <t xml:space="preserve">Expenses</t>
  </si>
  <si>
    <t xml:space="preserve">What does it really cost to run?</t>
  </si>
  <si>
    <t xml:space="preserve">#3 The missing lines (management, reserves, real insurance)</t>
  </si>
  <si>
    <t xml:space="preserve">4 County &amp; Tax</t>
  </si>
  <si>
    <t xml:space="preserve">Verify</t>
  </si>
  <si>
    <t xml:space="preserve">Does the public record match the listing?</t>
  </si>
  <si>
    <t xml:space="preserve">#4 The seller's tax bill   #5 Units that aren't legal</t>
  </si>
  <si>
    <t xml:space="preserve">5 Inspect</t>
  </si>
  <si>
    <t xml:space="preserve">Inspect</t>
  </si>
  <si>
    <t xml:space="preserve">What will it cost me that nobody mentioned?</t>
  </si>
  <si>
    <t xml:space="preserve">#6 Who pays the heat and water   #7 Deferred CapEx priced at zero</t>
  </si>
  <si>
    <t xml:space="preserve">6 Metrics</t>
  </si>
  <si>
    <t xml:space="preserve">Measure</t>
  </si>
  <si>
    <t xml:space="preserve">Does it hit my buy box, and does it survive a bad year?</t>
  </si>
  <si>
    <t xml:space="preserve">Stress test: never trust one number</t>
  </si>
  <si>
    <t xml:space="preserve">7 Upside</t>
  </si>
  <si>
    <t xml:space="preserve">Upside</t>
  </si>
  <si>
    <t xml:space="preserve">Where can I create income, and what is it worth?</t>
  </si>
  <si>
    <t xml:space="preserve">#8 Paying the seller for your upside</t>
  </si>
  <si>
    <t xml:space="preserve">8 Offer</t>
  </si>
  <si>
    <t xml:space="preserve">Offer</t>
  </si>
  <si>
    <t xml:space="preserve">What should I pay, and how much leverage do I have?</t>
  </si>
  <si>
    <t xml:space="preserve">Anchoring on the asking price</t>
  </si>
  <si>
    <t xml:space="preserve">Report</t>
  </si>
  <si>
    <t xml:space="preserve">Put it together</t>
  </si>
  <si>
    <t xml:space="preserve">The one-page summary</t>
  </si>
  <si>
    <t xml:space="preserve">All 8 blind spots, checked</t>
  </si>
  <si>
    <t xml:space="preserve">Color legend</t>
  </si>
  <si>
    <t xml:space="preserve">Your input (edit these)</t>
  </si>
  <si>
    <t xml:space="preserve">Calculated (leave alone)</t>
  </si>
  <si>
    <t xml:space="preserve">Pulled from another tab</t>
  </si>
  <si>
    <t xml:space="preserve">Blind spot</t>
  </si>
  <si>
    <t xml:space="preserve">A mistake this step is designed to catch</t>
  </si>
  <si>
    <t xml:space="preserve">Important</t>
  </si>
  <si>
    <t xml:space="preserve">Educational use only. This template is not financial, legal, tax, or lending advice. Verify every figure with the source documents and qualified professionals (lender, insurance agent, attorney, inspector, tax advisor) before you commit money. Local rules vary.</t>
  </si>
  <si>
    <t xml:space="preserve">Built by Simon Asselin, real estate investor since 2004 and founder of relea.ai. relea runs these 8 steps automatically from a listing link, PDF, or address: relea.ai</t>
  </si>
  <si>
    <t xml:space="preserve">Step 1: Gather</t>
  </si>
  <si>
    <t xml:space="preserve">The property</t>
  </si>
  <si>
    <t xml:space="preserve">Address</t>
  </si>
  <si>
    <t xml:space="preserve">Use the listing address; confirm the PIN / parcel on tab 4.</t>
  </si>
  <si>
    <t xml:space="preserve">City, state</t>
  </si>
  <si>
    <t xml:space="preserve">Number of units</t>
  </si>
  <si>
    <t xml:space="preserve">The legal unit count. Verify on tab 4 before trusting the listing.</t>
  </si>
  <si>
    <t xml:space="preserve">Asking price</t>
  </si>
  <si>
    <t xml:space="preserve">Year built</t>
  </si>
  <si>
    <t xml:space="preserve">Drives CapEx expectations on tab 5.</t>
  </si>
  <si>
    <t xml:space="preserve">Building size (sq ft)</t>
  </si>
  <si>
    <t xml:space="preserve">Property type</t>
  </si>
  <si>
    <t xml:space="preserve">Days on market</t>
  </si>
  <si>
    <t xml:space="preserve">Used for leverage on tab 8.</t>
  </si>
  <si>
    <t xml:space="preserve">Analysis year</t>
  </si>
  <si>
    <t xml:space="preserve">Used to age the building components on tab 5.</t>
  </si>
  <si>
    <t xml:space="preserve">Purchase and financing</t>
  </si>
  <si>
    <t xml:space="preserve">Your purchase price</t>
  </si>
  <si>
    <t xml:space="preserve">Starts at the asking price. Try your offer here and watch every tab update.</t>
  </si>
  <si>
    <t xml:space="preserve">Down payment (% of price)</t>
  </si>
  <si>
    <t xml:space="preserve">25% is typical for investor and DSCR loans.</t>
  </si>
  <si>
    <t xml:space="preserve">Interest rate</t>
  </si>
  <si>
    <t xml:space="preserve">Sept 3, 2026: 30-yr fixed averaged 6.71% (Freddie Mac). Investor and DSCR loans usually price higher. Use a real quote.</t>
  </si>
  <si>
    <t xml:space="preserve">Amortization (years)</t>
  </si>
  <si>
    <t xml:space="preserve">30 for residential 1-4 units; 25 is common for 5+ unit bank loans.</t>
  </si>
  <si>
    <t xml:space="preserve">Closing costs (% of price)</t>
  </si>
  <si>
    <t xml:space="preserve">Lender, title, legal, transfer taxes. Ask your lender and attorney.</t>
  </si>
  <si>
    <t xml:space="preserve">Loan-to-value</t>
  </si>
  <si>
    <t xml:space="preserve">Loan amount</t>
  </si>
  <si>
    <t xml:space="preserve">Annual debt service</t>
  </si>
  <si>
    <t xml:space="preserve">Principal and interest, 12 months.</t>
  </si>
  <si>
    <t xml:space="preserve">Annual debt constant</t>
  </si>
  <si>
    <t xml:space="preserve">Debt service per $1 borrowed. Used to back-solve your max offer on tab 8.</t>
  </si>
  <si>
    <t xml:space="preserve">Your buy box (the test every deal is graded against)</t>
  </si>
  <si>
    <t xml:space="preserve">Minimum cash-on-cash return</t>
  </si>
  <si>
    <t xml:space="preserve">Annual cash flow / cash you put in.</t>
  </si>
  <si>
    <t xml:space="preserve">Minimum DSCR</t>
  </si>
  <si>
    <t xml:space="preserve">Most lenders want 1.20x to 1.25x.</t>
  </si>
  <si>
    <t xml:space="preserve">Minimum cap rate (current, as bought)</t>
  </si>
  <si>
    <t xml:space="preserve">Minimum cap rate (stabilized)</t>
  </si>
  <si>
    <t xml:space="preserve">After your value-add plan (tab 7).</t>
  </si>
  <si>
    <t xml:space="preserve">Maximum price per unit</t>
  </si>
  <si>
    <t xml:space="preserve">The document stack</t>
  </si>
  <si>
    <t xml:space="preserve">Document</t>
  </si>
  <si>
    <t xml:space="preserve">Status</t>
  </si>
  <si>
    <t xml:space="preserve">When</t>
  </si>
  <si>
    <t xml:space="preserve">Notes</t>
  </si>
  <si>
    <t xml:space="preserve">Listing / offering memorandum (OM)</t>
  </si>
  <si>
    <t xml:space="preserve">Before you model</t>
  </si>
  <si>
    <t xml:space="preserve">Rent roll (unit, rent, lease end, deposit)</t>
  </si>
  <si>
    <t xml:space="preserve">T-12 (trailing 12-month P&amp;L)</t>
  </si>
  <si>
    <t xml:space="preserve">Base case comes from the T-12, not the pro forma.</t>
  </si>
  <si>
    <t xml:space="preserve">Photos (including basement, mechanicals, roof)</t>
  </si>
  <si>
    <t xml:space="preserve">No basement photos is a signal.</t>
  </si>
  <si>
    <t xml:space="preserve">County assessor record</t>
  </si>
  <si>
    <t xml:space="preserve">Verify with</t>
  </si>
  <si>
    <t xml:space="preserve">Tab 4</t>
  </si>
  <si>
    <t xml:space="preserve">Current tax bill (check the exemptions)</t>
  </si>
  <si>
    <t xml:space="preserve">Leases</t>
  </si>
  <si>
    <t xml:space="preserve">Utility bills, 12 to 24 months</t>
  </si>
  <si>
    <t xml:space="preserve">Tab 5</t>
  </si>
  <si>
    <t xml:space="preserve">Insurance quotes (2 to 3 agents)</t>
  </si>
  <si>
    <t xml:space="preserve">Due diligence</t>
  </si>
  <si>
    <t xml:space="preserve">Not the seller's premium.</t>
  </si>
  <si>
    <t xml:space="preserve">Inspection report</t>
  </si>
  <si>
    <t xml:space="preserve">Feeds CapEx on tab 5.</t>
  </si>
  <si>
    <t xml:space="preserve">Tenant estoppels</t>
  </si>
  <si>
    <t xml:space="preserve">Tenants confirm their own rent, deposit, and terms.</t>
  </si>
  <si>
    <t xml:space="preserve">Bank deposit statements</t>
  </si>
  <si>
    <t xml:space="preserve">Proves the rent roll is real.</t>
  </si>
  <si>
    <t xml:space="preserve">Security deposit ledger</t>
  </si>
  <si>
    <t xml:space="preserve">BLIND SPOT #1  The listing is a sales document. "Pro forma" and "projected" are not "actual." Build your base case on the T-12 and the rent roll; keep the broker's numbers in the seller's column on tab 3.</t>
  </si>
  <si>
    <t xml:space="preserve">Tip: send your document request list the day you get the listing. How fast and how completely the seller answers is information too.</t>
  </si>
  <si>
    <t xml:space="preserve">Step 2: Rents</t>
  </si>
  <si>
    <t xml:space="preserve">Rent roll: current vs market, unit by unit</t>
  </si>
  <si>
    <t xml:space="preserve">Unit</t>
  </si>
  <si>
    <t xml:space="preserve">Bed / bath</t>
  </si>
  <si>
    <t xml:space="preserve">Comp type</t>
  </si>
  <si>
    <t xml:space="preserve">Sq ft</t>
  </si>
  <si>
    <t xml:space="preserve">Current rent / mo</t>
  </si>
  <si>
    <t xml:space="preserve">Lease end</t>
  </si>
  <si>
    <t xml:space="preserve">Tenant since</t>
  </si>
  <si>
    <t xml:space="preserve">Market low / mo</t>
  </si>
  <si>
    <t xml:space="preserve">Market high / mo</t>
  </si>
  <si>
    <t xml:space="preserve">Market mid / mo</t>
  </si>
  <si>
    <t xml:space="preserve">Gap / mo</t>
  </si>
  <si>
    <t xml:space="preserve">Gap %</t>
  </si>
  <si>
    <t xml:space="preserve">Stabilized rent / mo</t>
  </si>
  <si>
    <t xml:space="preserve">Read</t>
  </si>
  <si>
    <t xml:space="preserve">Totals</t>
  </si>
  <si>
    <t xml:space="preserve">Unit count check</t>
  </si>
  <si>
    <t xml:space="preserve">Vacant unit? Enter the rent you can realistically get now (the low end of market), not the seller's hoped-for rent.</t>
  </si>
  <si>
    <t xml:space="preserve">BLIND SPOT #2  Rents the market won't support. If the seller's pro forma sits above the comp range, the upside was never there. A unit below market is either upside (tab 7) or below market for a reason. Both need an answer.</t>
  </si>
  <si>
    <t xml:space="preserve">Rent roll red flags: every lease renewed in the last 90 days; vacant units shown at "market"; round numbers; rents that don't reconcile to the T-12; lots of month-to-month tenants. Verify with leases, bank deposits, and estoppels.</t>
  </si>
  <si>
    <t xml:space="preserve">Rent comps log</t>
  </si>
  <si>
    <t xml:space="preserve">Rent / mo</t>
  </si>
  <si>
    <t xml:space="preserve">Asking or leased</t>
  </si>
  <si>
    <t xml:space="preserve">Source</t>
  </si>
  <si>
    <t xml:space="preserve">Distance (mi)</t>
  </si>
  <si>
    <t xml:space="preserve">Date</t>
  </si>
  <si>
    <t xml:space="preserve">Utilities incl.</t>
  </si>
  <si>
    <t xml:space="preserve">Adjust $ / mo</t>
  </si>
  <si>
    <t xml:space="preserve">Adjusted rent</t>
  </si>
  <si>
    <t xml:space="preserve">Adjustment reason</t>
  </si>
  <si>
    <t xml:space="preserve">Method: 5 to 8 comps; 0.25 to 0.5 mi in the city, 1 to 2 mi in the suburbs; last 90 days; same bed / bath, similar size and condition. Matching comps first; when data is light, adjust each comp to match YOUR unit: e.g. + the heat cost if your rent includes heat and the comp's doesn't; - $75 to $150 if the comp has in-unit laundry and yours doesn't.</t>
  </si>
  <si>
    <t xml:space="preserve">Comps summary by type (feeds the market columns above)</t>
  </si>
  <si>
    <t xml:space="preserve"># comps</t>
  </si>
  <si>
    <t xml:space="preserve">Low</t>
  </si>
  <si>
    <t xml:space="preserve">Average</t>
  </si>
  <si>
    <t xml:space="preserve">High</t>
  </si>
  <si>
    <t xml:space="preserve">Market low (suggested)</t>
  </si>
  <si>
    <t xml:space="preserve">Market high (suggested)</t>
  </si>
  <si>
    <t xml:space="preserve">Suggested range = halfway between the low and the average, to halfway between the average and the high. Asking rents run above what tenants actually sign, so underwrite the middle of the range, not the top. Fewer than 5 comps? Find more.</t>
  </si>
  <si>
    <t xml:space="preserve">Step 3: Income and expenses</t>
  </si>
  <si>
    <t xml:space="preserve">Income</t>
  </si>
  <si>
    <t xml:space="preserve">Line item</t>
  </si>
  <si>
    <t xml:space="preserve">Seller's number (listing / T-12)</t>
  </si>
  <si>
    <t xml:space="preserve">Your assumption</t>
  </si>
  <si>
    <t xml:space="preserve">Basis</t>
  </si>
  <si>
    <t xml:space="preserve">Your current (as bought)</t>
  </si>
  <si>
    <t xml:space="preserve">Your stabilized</t>
  </si>
  <si>
    <t xml:space="preserve">Per unit (current)</t>
  </si>
  <si>
    <t xml:space="preserve">How to estimate it</t>
  </si>
  <si>
    <t xml:space="preserve">Gross potential rent (annual)</t>
  </si>
  <si>
    <t xml:space="preserve">From the rent roll (tab 2). Stabilized = every unit at market mid.</t>
  </si>
  <si>
    <t xml:space="preserve">Other income (from the detail below)</t>
  </si>
  <si>
    <t xml:space="preserve">Only what the T-12 shows today, broken out line by line at the bottom of this tab. New income from your plan comes in via tab 7.</t>
  </si>
  <si>
    <t xml:space="preserve">Vacancy and credit loss (%)</t>
  </si>
  <si>
    <t xml:space="preserve">Use your census tract, not a reflexive 5%: find the tract (Census Geocoder), then ACS 5-year tables B25004 and B25003. Vacancy = vacant for rent / (renter-occupied + vacant for rent + rented, not occupied). This is how relea sets vacancy. Chicago metro about 5% (Q1 2026, Matthews); U.S. 7.3% (Census, Q2 2026).</t>
  </si>
  <si>
    <t xml:space="preserve">Vacancy and credit loss ($)</t>
  </si>
  <si>
    <t xml:space="preserve">Effective gross income (EGI)</t>
  </si>
  <si>
    <t xml:space="preserve">Operating expenses (annual)</t>
  </si>
  <si>
    <t xml:space="preserve">Property taxes</t>
  </si>
  <si>
    <t xml:space="preserve">At YOUR price after reassessment, with the seller's exemptions removed (tab 4). Never the seller's bill.</t>
  </si>
  <si>
    <t xml:space="preserve">Insurance</t>
  </si>
  <si>
    <t xml:space="preserve">Your quote</t>
  </si>
  <si>
    <t xml:space="preserve">2 to 3 real quotes from agents, not the seller's premium. Quotes for the same building can differ by 2x; premiums have climbed fast since 2019.</t>
  </si>
  <si>
    <t xml:space="preserve">Heat / gas (owner-paid)</t>
  </si>
  <si>
    <t xml:space="preserve">From 12 to 24 months of bills. Zero only if tenants pay (tab 5).</t>
  </si>
  <si>
    <t xml:space="preserve">Water and sewer (owner-paid)</t>
  </si>
  <si>
    <t xml:space="preserve">Chicago: the titleholder is liable for city water and sewer, even if the bill is in a tenant's name. Sewer bills at 100% of water.</t>
  </si>
  <si>
    <t xml:space="preserve">Electric (common areas / owner-paid)</t>
  </si>
  <si>
    <t xml:space="preserve">Hall and basement lights, laundry, boiler controls.</t>
  </si>
  <si>
    <t xml:space="preserve">Trash</t>
  </si>
  <si>
    <t xml:space="preserve">Chicago: city pickup for 4 units or fewer (monthly fee per unit); 5+ units need a private scavenger.</t>
  </si>
  <si>
    <t xml:space="preserve">Repairs and maintenance</t>
  </si>
  <si>
    <t xml:space="preserve">per unit / yr</t>
  </si>
  <si>
    <t xml:space="preserve">About $1,100 per unit per year nationally (NAA). Older buildings run higher.</t>
  </si>
  <si>
    <t xml:space="preserve">Turnover / make-ready</t>
  </si>
  <si>
    <t xml:space="preserve">Cost per turn x expected turns per year / units. Paint, cleaning, repairs, leasing.</t>
  </si>
  <si>
    <t xml:space="preserve">Property management</t>
  </si>
  <si>
    <t xml:space="preserve">% of EGI</t>
  </si>
  <si>
    <t xml:space="preserve">8% to 10% even if you self-manage: your time has a cost, and lenders underwrite a fee anyway.</t>
  </si>
  <si>
    <t xml:space="preserve">CapEx reserve</t>
  </si>
  <si>
    <t xml:space="preserve">$250 to $500+ per unit per year. Older buildings at the high end. Separate from the big items on tab 5.</t>
  </si>
  <si>
    <t xml:space="preserve">Landscaping and snow</t>
  </si>
  <si>
    <t xml:space="preserve">per building / yr</t>
  </si>
  <si>
    <t xml:space="preserve">Pest control</t>
  </si>
  <si>
    <t xml:space="preserve">Legal, accounting, admin, software</t>
  </si>
  <si>
    <t xml:space="preserve">Evictions, bookkeeping, tenant screening, rent collection software.</t>
  </si>
  <si>
    <t xml:space="preserve">Licenses, inspections, other</t>
  </si>
  <si>
    <t xml:space="preserve">Chicago: porch permits, 10-year sealed smoke alarms, and any rental registration that applies.</t>
  </si>
  <si>
    <t xml:space="preserve">Total operating expenses</t>
  </si>
  <si>
    <t xml:space="preserve">Net operating income (NOI)</t>
  </si>
  <si>
    <t xml:space="preserve">Expense ratio (expenses / EGI)</t>
  </si>
  <si>
    <t xml:space="preserve">Cap rate at your price (NOI / price)</t>
  </si>
  <si>
    <t xml:space="preserve">Seller's column uses the asking price: that is the cap rate the listing is advertising.</t>
  </si>
  <si>
    <t xml:space="preserve">The gap: seller's NOI minus yours</t>
  </si>
  <si>
    <t xml:space="preserve">Column E: what that gap is worth in price at your buy-box cap rate. This is the money the missing lines hide.</t>
  </si>
  <si>
    <t xml:space="preserve">BLIND SPOT #3  The missing lines. No management fee because the seller self-manages, no reserves, last year's insurance, the seller's tax bill, utilities left out. Compare column B to column E line by line.</t>
  </si>
  <si>
    <t xml:space="preserve">The 50% rule and the 1% rule are screens that tell you whether to look. They are not underwriting.</t>
  </si>
  <si>
    <t xml:space="preserve">Other income detail (current, annual). This block feeds the Other income line above.</t>
  </si>
  <si>
    <t xml:space="preserve">Laundry</t>
  </si>
  <si>
    <t xml:space="preserve">Parking</t>
  </si>
  <si>
    <t xml:space="preserve">Storage</t>
  </si>
  <si>
    <t xml:space="preserve">Pet rent</t>
  </si>
  <si>
    <t xml:space="preserve">Other</t>
  </si>
  <si>
    <t xml:space="preserve">Total other income (current)</t>
  </si>
  <si>
    <t xml:space="preserve">Count only income the T-12 or the bank statements prove. Income the listing calls "potential" belongs on tab 7, where it does not move your offer.</t>
  </si>
  <si>
    <t xml:space="preserve">Step 4: Verify</t>
  </si>
  <si>
    <t xml:space="preserve">Listing vs county record</t>
  </si>
  <si>
    <t xml:space="preserve">Field</t>
  </si>
  <si>
    <t xml:space="preserve">Listing says</t>
  </si>
  <si>
    <t xml:space="preserve">County says</t>
  </si>
  <si>
    <t xml:space="preserve">Match?</t>
  </si>
  <si>
    <t xml:space="preserve">Why it matters</t>
  </si>
  <si>
    <t xml:space="preserve">Unit count</t>
  </si>
  <si>
    <t xml:space="preserve">Legal units drive financing, insurance, and value.</t>
  </si>
  <si>
    <t xml:space="preserve">Total bedrooms</t>
  </si>
  <si>
    <t xml:space="preserve">A den marketed as a bedroom inflates the rent comps.</t>
  </si>
  <si>
    <t xml:space="preserve">Building sq ft</t>
  </si>
  <si>
    <t xml:space="preserve">Affects $/sq ft comps, insurance value, and tax appeals.</t>
  </si>
  <si>
    <t xml:space="preserve">Vintage drives CapEx and insurability.</t>
  </si>
  <si>
    <t xml:space="preserve">Property class</t>
  </si>
  <si>
    <t xml:space="preserve">Class sets the assessment level (2-11: 2 to 6 apartments; 3-xx: 7+).</t>
  </si>
  <si>
    <t xml:space="preserve">Public record checklist</t>
  </si>
  <si>
    <t xml:space="preserve">Item</t>
  </si>
  <si>
    <t xml:space="preserve">What you found</t>
  </si>
  <si>
    <t xml:space="preserve">Where to look</t>
  </si>
  <si>
    <t xml:space="preserve">PIN / parcel number</t>
  </si>
  <si>
    <t xml:space="preserve">Assessor</t>
  </si>
  <si>
    <t xml:space="preserve">Last sale date and price</t>
  </si>
  <si>
    <t xml:space="preserve">Clerk recordings / assessor</t>
  </si>
  <si>
    <t xml:space="preserve">Exemptions on the current bill</t>
  </si>
  <si>
    <t xml:space="preserve">Treasurer / tax portal</t>
  </si>
  <si>
    <t xml:space="preserve">Appeal history</t>
  </si>
  <si>
    <t xml:space="preserve">Assessor / Board of Review</t>
  </si>
  <si>
    <t xml:space="preserve">Owner mailing address</t>
  </si>
  <si>
    <t xml:space="preserve">Assessor / treasurer</t>
  </si>
  <si>
    <t xml:space="preserve">Delinquent or sold taxes</t>
  </si>
  <si>
    <t xml:space="preserve">Treasurer / clerk</t>
  </si>
  <si>
    <t xml:space="preserve">Mortgages and liens</t>
  </si>
  <si>
    <t xml:space="preserve">Clerk recordings</t>
  </si>
  <si>
    <t xml:space="preserve">Open building violations</t>
  </si>
  <si>
    <t xml:space="preserve">City building records</t>
  </si>
  <si>
    <t xml:space="preserve">Permits vs photos</t>
  </si>
  <si>
    <t xml:space="preserve">Zoning district and units allowed</t>
  </si>
  <si>
    <t xml:space="preserve">Zoning map</t>
  </si>
  <si>
    <t xml:space="preserve">BLIND SPOT #5  Units that aren't legal. A garden or attic unit with no permit, or more units than the zoning allows, hits your financing, your insurance, and code enforcement. Check permits against the photos.</t>
  </si>
  <si>
    <t xml:space="preserve">Property tax: the seller's bill vs yours</t>
  </si>
  <si>
    <t xml:space="preserve">How the bill is built here</t>
  </si>
  <si>
    <t xml:space="preserve">Cook County: market value x 10% assessment level x state equalizer = equalized assessed value (EAV). (EAV - exemptions) x your tax code's rate = the bill. The rate (about 6.9% in Chicago) applies to EAV, not to market value: on market value the effective rate is about 2.1% (10% x 3.03 x 6.9%).</t>
  </si>
  <si>
    <t xml:space="preserve">Seller's current annual tax bill</t>
  </si>
  <si>
    <t xml:space="preserve">From the treasurer / tax bill. Check which exemptions it includes.</t>
  </si>
  <si>
    <t xml:space="preserve">County's current market value (assessor)</t>
  </si>
  <si>
    <t xml:space="preserve">What the assessor thinks it is worth today. Often lags the sale price.</t>
  </si>
  <si>
    <t xml:space="preserve">Assessment level (% of market value)</t>
  </si>
  <si>
    <t xml:space="preserve">Cook County: 10% for residential (class 2, including 2 to 6 unit apartments) and for 7+ unit apartments (class 3).</t>
  </si>
  <si>
    <t xml:space="preserve">Equalizer / multiplier</t>
  </si>
  <si>
    <t xml:space="preserve">Cook County final state equalizer for tax year 2025: 3.0300 (Illinois Dept. of Revenue).</t>
  </si>
  <si>
    <t xml:space="preserve">Tax rate (% of taxable value)</t>
  </si>
  <si>
    <t xml:space="preserve">Your tax code's rate, from the Treasurer's tax portal (cookcountypropertyinfo.com) or the Cook County Clerk's tax rate report. Chicago codes ran about 6.9% for tax year 2025.</t>
  </si>
  <si>
    <t xml:space="preserve">Seller's exemptions (taxable value)</t>
  </si>
  <si>
    <t xml:space="preserve">Homeowner exemption = $10,000 of EAV; senior = $8,000; the senior freeze locks the value. All leave with the seller. Not shown on the bill? Back-solve: EAV minus (bill / rate).</t>
  </si>
  <si>
    <t xml:space="preserve">Next reassessment year</t>
  </si>
  <si>
    <t xml:space="preserve">City of Chicago: tax year 2027 (bills paid in 2028). South and west suburbs: 2026 (now). North suburbs: 2028.</t>
  </si>
  <si>
    <t xml:space="preserve">Scenario</t>
  </si>
  <si>
    <t xml:space="preserve">Annual tax</t>
  </si>
  <si>
    <t xml:space="preserve">vs seller's bill</t>
  </si>
  <si>
    <t xml:space="preserve">What it means</t>
  </si>
  <si>
    <t xml:space="preserve">Seller's bill, recomputed (sanity check)</t>
  </si>
  <si>
    <t xml:space="preserve">Should land close to the actual bill. If not, check the rate and the exemptions before you trust anything below.</t>
  </si>
  <si>
    <t xml:space="preserve">Your bill on day one (exemptions gone)</t>
  </si>
  <si>
    <t xml:space="preserve">The seller's exemptions leave with the seller.</t>
  </si>
  <si>
    <t xml:space="preserve">Your bill after reassessment at your price</t>
  </si>
  <si>
    <t xml:space="preserve">Your purchase price becomes the evidence at the next reassessment. Recommended for underwriting.</t>
  </si>
  <si>
    <t xml:space="preserve">Underwrite taxes at</t>
  </si>
  <si>
    <t xml:space="preserve">After reassessment at your price</t>
  </si>
  <si>
    <t xml:space="preserve">Tax used on tab 3</t>
  </si>
  <si>
    <t xml:space="preserve">Effective tax rate on your price</t>
  </si>
  <si>
    <t xml:space="preserve">Tab 8 uses this so your max offer accounts for the taxes that come with that price.</t>
  </si>
  <si>
    <t xml:space="preserve">Tax scales with your price?</t>
  </si>
  <si>
    <t xml:space="preserve">BLIND SPOT #4  The seller's tax bill. In Cook County a sale does not reset your assessment at closing. But the seller's exemptions leave with the seller on day one, and your purchase price becomes the evidence at the next reassessment. Underwrite as if it has already happened: inside your hold period, it will.</t>
  </si>
  <si>
    <t xml:space="preserve">Where to look: Cook County Assessor (value, class, exemptions); Treasurer and cookcountypropertyinfo.com (bills, delinquencies); County Clerk (tax rates, sold taxes); Clerk Recordings (deeds, mortgages, liens); Board of Review (appeal history); City of Chicago data portal (permits, violations); Chicago zoning map.</t>
  </si>
  <si>
    <t xml:space="preserve">Appeals are open every year in three stages: Assessor, Board of Review, then PTAB. Check your township's calendar.</t>
  </si>
  <si>
    <t xml:space="preserve">Step 5: Inspect</t>
  </si>
  <si>
    <t xml:space="preserve">Who pays the utilities?</t>
  </si>
  <si>
    <t xml:space="preserve">Utility</t>
  </si>
  <si>
    <t xml:space="preserve">Who pays</t>
  </si>
  <si>
    <t xml:space="preserve">Owner cost / yr (from bills)</t>
  </si>
  <si>
    <t xml:space="preserve">Cost used</t>
  </si>
  <si>
    <t xml:space="preserve">Where you confirmed it</t>
  </si>
  <si>
    <t xml:space="preserve">Heat / gas</t>
  </si>
  <si>
    <t xml:space="preserve">Water and sewer</t>
  </si>
  <si>
    <t xml:space="preserve">Electric, common areas</t>
  </si>
  <si>
    <t xml:space="preserve">Owner-paid utilities, per unit per year</t>
  </si>
  <si>
    <t xml:space="preserve">BLIND SPOT #6  Who pays the heat and water. Owner-paid utilities swing expenses $500 to $1,000 per unit per year and are often buried deep in the OM. Confirm with the leases, the meters in the photos, and the actual bills.</t>
  </si>
  <si>
    <t xml:space="preserve">CapEx: from age, photos, and the inspection</t>
  </si>
  <si>
    <t xml:space="preserve">Component</t>
  </si>
  <si>
    <t xml:space="preserve">Installed / last replaced</t>
  </si>
  <si>
    <t xml:space="preserve">Typical life (yrs)</t>
  </si>
  <si>
    <t xml:space="preserve">Remaining life (yrs)</t>
  </si>
  <si>
    <t xml:space="preserve">Condition</t>
  </si>
  <si>
    <t xml:space="preserve">Urgency</t>
  </si>
  <si>
    <t xml:space="preserve">Cost low</t>
  </si>
  <si>
    <t xml:space="preserve">Cost high</t>
  </si>
  <si>
    <t xml:space="preserve">Cost mid</t>
  </si>
  <si>
    <t xml:space="preserve">Include?</t>
  </si>
  <si>
    <t xml:space="preserve">New finding? (not in listing)</t>
  </si>
  <si>
    <t xml:space="preserve">Roof</t>
  </si>
  <si>
    <t xml:space="preserve">Boiler / furnace</t>
  </si>
  <si>
    <t xml:space="preserve">Water heaters</t>
  </si>
  <si>
    <t xml:space="preserve">Electrical service and panels</t>
  </si>
  <si>
    <t xml:space="preserve">Smoke / CO detectors</t>
  </si>
  <si>
    <t xml:space="preserve">Windows</t>
  </si>
  <si>
    <t xml:space="preserve">Porches</t>
  </si>
  <si>
    <t xml:space="preserve">Masonry / tuckpointing</t>
  </si>
  <si>
    <t xml:space="preserve">Sewer lateral</t>
  </si>
  <si>
    <t xml:space="preserve">Supply lines</t>
  </si>
  <si>
    <t xml:space="preserve">Kitchens and baths</t>
  </si>
  <si>
    <t xml:space="preserve">CapEx needed now (mid, included)</t>
  </si>
  <si>
    <t xml:space="preserve">Added to your cash needed at purchase (tab 6).</t>
  </si>
  <si>
    <t xml:space="preserve">CapEx in 1 to 2 years (mid, included)</t>
  </si>
  <si>
    <t xml:space="preserve">Plan the cash now. A year-two roof changes the whole return.</t>
  </si>
  <si>
    <t xml:space="preserve">New findings not disclosed in the listing</t>
  </si>
  <si>
    <t xml:space="preserve">Your starting point for a credit or price reduction (tab 8).</t>
  </si>
  <si>
    <t xml:space="preserve">BLIND SPOT #7  Deferred CapEx priced at zero. Typical lives: roof 20 to 25 years; boiler or furnace 15 to 25; water heater 8 to 12; windows 20 to 25. Photo signals: dated kitchens, window AC units, ceiling stains, "needs TLC", no basement photos.</t>
  </si>
  <si>
    <t xml:space="preserve">Risks and the due diligence checklist (before earnest money goes hard)</t>
  </si>
  <si>
    <t xml:space="preserve">Group</t>
  </si>
  <si>
    <t xml:space="preserve">Legal unit count and zoning</t>
  </si>
  <si>
    <t xml:space="preserve">Legal</t>
  </si>
  <si>
    <t xml:space="preserve">Not started</t>
  </si>
  <si>
    <t xml:space="preserve">Permits and open violations</t>
  </si>
  <si>
    <t xml:space="preserve">Title and liens</t>
  </si>
  <si>
    <t xml:space="preserve">Leases for every unit</t>
  </si>
  <si>
    <t xml:space="preserve">Financial</t>
  </si>
  <si>
    <t xml:space="preserve">Security deposit ledger and account</t>
  </si>
  <si>
    <t xml:space="preserve">Chicago RLTO: separate interest-bearing account; violations can cost 2x the deposit.</t>
  </si>
  <si>
    <t xml:space="preserve">T-12 vs bank deposit statements</t>
  </si>
  <si>
    <t xml:space="preserve">Insurance quotes (2 to 3 agents) and loss runs</t>
  </si>
  <si>
    <t xml:space="preserve">Walk every unit</t>
  </si>
  <si>
    <t xml:space="preserve">Physical</t>
  </si>
  <si>
    <t xml:space="preserve">Electrical panels and wiring</t>
  </si>
  <si>
    <t xml:space="preserve">Boiler / HVAC</t>
  </si>
  <si>
    <t xml:space="preserve">Sewer scope (about $1,000)</t>
  </si>
  <si>
    <t xml:space="preserve">Lead paint (pre-1978 building)</t>
  </si>
  <si>
    <t xml:space="preserve">Porches and masonry</t>
  </si>
  <si>
    <t xml:space="preserve">Open items</t>
  </si>
  <si>
    <t xml:space="preserve">Issues found</t>
  </si>
  <si>
    <t xml:space="preserve">Step 6: Measure</t>
  </si>
  <si>
    <t xml:space="preserve">The numbers vs your buy box</t>
  </si>
  <si>
    <t xml:space="preserve">Metric</t>
  </si>
  <si>
    <t xml:space="preserve">Current (as bought)</t>
  </si>
  <si>
    <t xml:space="preserve">Stabilized</t>
  </si>
  <si>
    <t xml:space="preserve">Buy box</t>
  </si>
  <si>
    <t xml:space="preserve">Current vs buy box</t>
  </si>
  <si>
    <t xml:space="preserve">Stabilized vs buy box</t>
  </si>
  <si>
    <t xml:space="preserve">In plain English</t>
  </si>
  <si>
    <t xml:space="preserve">Purchase price</t>
  </si>
  <si>
    <t xml:space="preserve">Price per unit</t>
  </si>
  <si>
    <t xml:space="preserve">Fast comparison against other listings.</t>
  </si>
  <si>
    <t xml:space="preserve">Gross rent multiplier (GRM)</t>
  </si>
  <si>
    <t xml:space="preserve">Price / annual rent. A screen, not a verdict.</t>
  </si>
  <si>
    <t xml:space="preserve">Effective gross income</t>
  </si>
  <si>
    <t xml:space="preserve">Operating expenses</t>
  </si>
  <si>
    <t xml:space="preserve">What the property earns before the mortgage. Financing never changes it.</t>
  </si>
  <si>
    <t xml:space="preserve">Cap rate (NOI / price)</t>
  </si>
  <si>
    <t xml:space="preserve">The property's yield as if you paid cash.</t>
  </si>
  <si>
    <t xml:space="preserve">DSCR (NOI / debt service)</t>
  </si>
  <si>
    <t xml:space="preserve">Whether the lender is comfortable. 1.20x to 1.25x is the usual minimum.</t>
  </si>
  <si>
    <t xml:space="preserve">Annual cash flow (NOI - debt service)</t>
  </si>
  <si>
    <t xml:space="preserve">Cash needed (down + closing + CapEx now; + value-add cost when stabilized)</t>
  </si>
  <si>
    <t xml:space="preserve">Cash-on-cash return</t>
  </si>
  <si>
    <t xml:space="preserve">Your yield with your financing, on the cash you put in.</t>
  </si>
  <si>
    <t xml:space="preserve">Break-even occupancy</t>
  </si>
  <si>
    <t xml:space="preserve">Occupancy needed to cover expenses and the mortgage. Lenders like 85% or lower.</t>
  </si>
  <si>
    <t xml:space="preserve">All-in basis (price + closing + CapEx now; + value-add when stabilized)</t>
  </si>
  <si>
    <t xml:space="preserve">What the building really costs you. Cap rate ignores this; your money does not.</t>
  </si>
  <si>
    <t xml:space="preserve">Yield on cost (NOI / all-in basis)</t>
  </si>
  <si>
    <t xml:space="preserve">Cap rate compares listings at their price. Yield on cost tells you what YOUR dollars earn once the urgent work is paid for.</t>
  </si>
  <si>
    <t xml:space="preserve">Creative financing (seller carry, subject-to) changes debt service, DSCR, and cash-on-cash. It never changes NOI. The property still has to cash flow. Try a structure on tab 8.</t>
  </si>
  <si>
    <t xml:space="preserve">Cash-on-cash and yield on cost already carry the urgent CapEx from tab 5. Cap rate deliberately does not, so it stays comparable to other listings.</t>
  </si>
  <si>
    <t xml:space="preserve">Stress test: one shock at a time, then all together (current numbers)</t>
  </si>
  <si>
    <t xml:space="preserve">Rate shock (+ points)</t>
  </si>
  <si>
    <t xml:space="preserve">Vacancy shock (+ points)</t>
  </si>
  <si>
    <t xml:space="preserve">Expense shock (+%)</t>
  </si>
  <si>
    <t xml:space="preserve">Rent shock (%)</t>
  </si>
  <si>
    <t xml:space="preserve">Rate</t>
  </si>
  <si>
    <t xml:space="preserve">Vacancy</t>
  </si>
  <si>
    <t xml:space="preserve">Expenses x</t>
  </si>
  <si>
    <t xml:space="preserve">Rent x</t>
  </si>
  <si>
    <t xml:space="preserve">NOI</t>
  </si>
  <si>
    <t xml:space="preserve">Debt service</t>
  </si>
  <si>
    <t xml:space="preserve">DSCR</t>
  </si>
  <si>
    <t xml:space="preserve">Cash flow</t>
  </si>
  <si>
    <t xml:space="preserve">Cash-on-cash</t>
  </si>
  <si>
    <t xml:space="preserve">Base case</t>
  </si>
  <si>
    <t xml:space="preserve">Rate up</t>
  </si>
  <si>
    <t xml:space="preserve">Vacancy up</t>
  </si>
  <si>
    <t xml:space="preserve">Expenses up</t>
  </si>
  <si>
    <t xml:space="preserve">Rents down</t>
  </si>
  <si>
    <t xml:space="preserve">Bad year: rate, vacancy and expenses together (rents flat)</t>
  </si>
  <si>
    <t xml:space="preserve">Base case should match the DSCR above. Every single shock can look survivable; together they are what a bad year looks like.</t>
  </si>
  <si>
    <t xml:space="preserve">DSCR grid: interest rate (rows) x vacancy (columns), current numbers</t>
  </si>
  <si>
    <t xml:space="preserve">Rate  \  Vacancy</t>
  </si>
  <si>
    <t xml:space="preserve">Green meets your buy-box DSCR; amber is below it; red means the property can't pay its mortgage. Edit the vacancy headers to test your own range.</t>
  </si>
  <si>
    <t xml:space="preserve">Step 7: Upside</t>
  </si>
  <si>
    <t xml:space="preserve">Value-add plays</t>
  </si>
  <si>
    <t xml:space="preserve">Play</t>
  </si>
  <si>
    <t xml:space="preserve">Units affected</t>
  </si>
  <si>
    <t xml:space="preserve">Lift / unit / mo</t>
  </si>
  <si>
    <t xml:space="preserve">Upfront cost</t>
  </si>
  <si>
    <t xml:space="preserve">Months to implement</t>
  </si>
  <si>
    <t xml:space="preserve">Added income / yr</t>
  </si>
  <si>
    <t xml:space="preserve">Value created</t>
  </si>
  <si>
    <t xml:space="preserve">Return on cost</t>
  </si>
  <si>
    <t xml:space="preserve">Payback (months)</t>
  </si>
  <si>
    <t xml:space="preserve">Notes and local rules</t>
  </si>
  <si>
    <t xml:space="preserve">Rents to market (from tab 2; negative = rents above market, at risk)</t>
  </si>
  <si>
    <t xml:space="preserve">In stab.</t>
  </si>
  <si>
    <t xml:space="preserve">Chicago Fair Notice: 60 days (6-month to 3-year tenancy) or 120 days (3+ years) for increases and non-renewals.</t>
  </si>
  <si>
    <t xml:space="preserve">Tenant storage lockers</t>
  </si>
  <si>
    <t xml:space="preserve">Price against in-building storage nearby. Get real bids before you count it.</t>
  </si>
  <si>
    <t xml:space="preserve">Parking spaces</t>
  </si>
  <si>
    <t xml:space="preserve">About $35 / mo on average (RentCafe).</t>
  </si>
  <si>
    <t xml:space="preserve">Coin to card laundry upgrade</t>
  </si>
  <si>
    <t xml:space="preserve">Utility bill-back (RUBS / submetering)</t>
  </si>
  <si>
    <t xml:space="preserve">Check whether it's allowed under Chicago's RLTO before modeling it.</t>
  </si>
  <si>
    <t xml:space="preserve">Add a unit (garden / attic / ADU)</t>
  </si>
  <si>
    <t xml:space="preserve">Zoning and ward opt-in first.</t>
  </si>
  <si>
    <t xml:space="preserve">Property tax appeal</t>
  </si>
  <si>
    <t xml:space="preserve">An expense cut: if you win, lower the tax on tab 4.</t>
  </si>
  <si>
    <t xml:space="preserve">Totals (included plays)</t>
  </si>
  <si>
    <t xml:space="preserve">Other income added to stabilized (excludes rents to market)</t>
  </si>
  <si>
    <t xml:space="preserve">Flows to tab 3, other income, stabilized column.</t>
  </si>
  <si>
    <t xml:space="preserve">Cap rate used to value the upside</t>
  </si>
  <si>
    <t xml:space="preserve">Use a market cap rate for this property type and area.</t>
  </si>
  <si>
    <t xml:space="preserve">Upside, before management and vacancy (a ceiling, not a promise)</t>
  </si>
  <si>
    <t xml:space="preserve">The value-add screen</t>
  </si>
  <si>
    <t xml:space="preserve">1. Spot the signals in the listing: below-market rents, long-tenured tenants, owner-paid utilities, an unused basement or garage, dated interiors, "TLC", a large lot or zoning headroom.</t>
  </si>
  <si>
    <t xml:space="preserve">2. Size it: units x monthly lift x 12 = added income. Added income / cap rate = added value.</t>
  </si>
  <si>
    <t xml:space="preserve">3. Cost it with real numbers: contractor bids (not your hoped-for budget), the vacancy while work happens, notice rules, and a 10% to 15% contingency.</t>
  </si>
  <si>
    <t xml:space="preserve">4. Risk-adjust it, and don't pay for it: your max offer on tab 8 uses CURRENT NOI. The upside is your reward for doing the work.</t>
  </si>
  <si>
    <t xml:space="preserve">BLIND SPOT #8  Paying the seller for your upside. If the price already assumes the stabilized rents, you take the risk and the seller keeps the reward.</t>
  </si>
  <si>
    <t xml:space="preserve">Chicago ADUs: allowed citywide since Apr 1, 2026, but wards must opt in and block caps apply. Confirm the path before you count a garden unit.</t>
  </si>
  <si>
    <t xml:space="preserve">Proposed Protecting Renters Ordinance (City Council vote scheduled Sept 23, 2026): if it passes, non-renewals could carry longer notice and relocation payments. Check the final text and model them as a cost in any plan that depends on turnover.</t>
  </si>
  <si>
    <t xml:space="preserve">Step 8: Offer</t>
  </si>
  <si>
    <t xml:space="preserve">Your walk-away price (back-solved from your buy box, on CURRENT numbers)</t>
  </si>
  <si>
    <t xml:space="preserve">Method</t>
  </si>
  <si>
    <t xml:space="preserve">Max price</t>
  </si>
  <si>
    <t xml:space="preserve">vs asking</t>
  </si>
  <si>
    <t xml:space="preserve">How it's solved</t>
  </si>
  <si>
    <t xml:space="preserve">NOI before property tax (current)</t>
  </si>
  <si>
    <t xml:space="preserve">Taxes are added back, then charged at each candidate price, because your tax depends on what you pay.</t>
  </si>
  <si>
    <t xml:space="preserve">Tax per $1 of price</t>
  </si>
  <si>
    <t xml:space="preserve">By DSCR (lender test)</t>
  </si>
  <si>
    <t xml:space="preserve">Price where NOI / debt service = your minimum DSCR.</t>
  </si>
  <si>
    <t xml:space="preserve">By cash-on-cash (your return test)</t>
  </si>
  <si>
    <t xml:space="preserve">Price where cash flow / cash invested (down + closing + CapEx now) = your target.</t>
  </si>
  <si>
    <t xml:space="preserve">By cap rate (your yield test)</t>
  </si>
  <si>
    <t xml:space="preserve">Price where NOI / price = your minimum current cap rate.</t>
  </si>
  <si>
    <t xml:space="preserve">By price per unit</t>
  </si>
  <si>
    <t xml:space="preserve">Your ceiling per unit x units. Leave the buy-box ceiling blank to skip this test.</t>
  </si>
  <si>
    <t xml:space="preserve">Walk-away price (the lowest of the four)</t>
  </si>
  <si>
    <t xml:space="preserve">Never go above this number. Anything above it fails your own buy box.</t>
  </si>
  <si>
    <t xml:space="preserve">The test that binds</t>
  </si>
  <si>
    <t xml:space="preserve">Proof: the deal at your walk-away price</t>
  </si>
  <si>
    <t xml:space="preserve">Check</t>
  </si>
  <si>
    <t xml:space="preserve">Value</t>
  </si>
  <si>
    <t xml:space="preserve">Property tax at that price</t>
  </si>
  <si>
    <t xml:space="preserve">NOI at that price</t>
  </si>
  <si>
    <t xml:space="preserve">Cap rate</t>
  </si>
  <si>
    <t xml:space="preserve">The binding test lands exactly on your buy box; the others clear it.</t>
  </si>
  <si>
    <t xml:space="preserve">Leverage: motivation, market, condition</t>
  </si>
  <si>
    <t xml:space="preserve">Signal</t>
  </si>
  <si>
    <t xml:space="preserve">Your data</t>
  </si>
  <si>
    <t xml:space="preserve">Local benchmark</t>
  </si>
  <si>
    <t xml:space="preserve">Leverage?</t>
  </si>
  <si>
    <t xml:space="preserve">Evidence / notes</t>
  </si>
  <si>
    <t xml:space="preserve">Days on market vs local median</t>
  </si>
  <si>
    <t xml:space="preserve">Longer than the local median = the market has already said no at this price. Count the CURRENT listing here, and read the full price history separately: a relist resets the clock.</t>
  </si>
  <si>
    <t xml:space="preserve">Price cuts (number)</t>
  </si>
  <si>
    <t xml:space="preserve">Relisted or expired before?</t>
  </si>
  <si>
    <t xml:space="preserve">Absentee or out-of-state owner?</t>
  </si>
  <si>
    <t xml:space="preserve">Owner mailing address on the county record vs the property address.</t>
  </si>
  <si>
    <t xml:space="preserve">Years owned (from last sale on tab 4)</t>
  </si>
  <si>
    <t xml:space="preserve">Long ownership usually means high equity: the seller can take a lower number.</t>
  </si>
  <si>
    <t xml:space="preserve">Vacant units on the rent roll</t>
  </si>
  <si>
    <t xml:space="preserve">Rents well below market (tired landlord)</t>
  </si>
  <si>
    <t xml:space="preserve">More than 10% below market across the rent roll.</t>
  </si>
  <si>
    <t xml:space="preserve">Estate, probate, divorce, or other life event?</t>
  </si>
  <si>
    <t xml:space="preserve">Ask the listing agent why the seller is selling.</t>
  </si>
  <si>
    <t xml:space="preserve">Motivation signals present</t>
  </si>
  <si>
    <t xml:space="preserve">Market: sale-to-list ratio</t>
  </si>
  <si>
    <t xml:space="preserve">Chicago, July 2026, all property types (Redfin): 51% sold above list. Pull a 2 to 4 unit report from MRED for your area.</t>
  </si>
  <si>
    <t xml:space="preserve">Market: months of supply</t>
  </si>
  <si>
    <t xml:space="preserve">Enter from MRED / InfoSparks for 2 to 4 unit buildings in your area.</t>
  </si>
  <si>
    <t xml:space="preserve">Market: share of listings with a price cut</t>
  </si>
  <si>
    <t xml:space="preserve">Nationally 20.4% of listings had a price cut in August 2026 (Realtor.com).</t>
  </si>
  <si>
    <t xml:space="preserve">Condition: new findings to price in (tab 5)</t>
  </si>
  <si>
    <t xml:space="preserve">Get contractor quotes, then ask for a credit or a price change. Leverage is evidence, not attitude.</t>
  </si>
  <si>
    <t xml:space="preserve">Your offer plan</t>
  </si>
  <si>
    <t xml:space="preserve">Opening offer</t>
  </si>
  <si>
    <t xml:space="preserve">Your judgment. Starts at 5% under the lower of walk-away and asking; overwrite it.</t>
  </si>
  <si>
    <t xml:space="preserve">Target price</t>
  </si>
  <si>
    <t xml:space="preserve">Walk-away (from above)</t>
  </si>
  <si>
    <t xml:space="preserve">Credit to ask for after inspection</t>
  </si>
  <si>
    <t xml:space="preserve">Gap between asking and your walk-away</t>
  </si>
  <si>
    <t xml:space="preserve">What if the structure changes? (seller financing, a different loan)</t>
  </si>
  <si>
    <t xml:space="preserve">Interest-only?</t>
  </si>
  <si>
    <t xml:space="preserve">Debt constant</t>
  </si>
  <si>
    <t xml:space="preserve">Max price by DSCR</t>
  </si>
  <si>
    <t xml:space="preserve">Max price by cash-on-cash</t>
  </si>
  <si>
    <t xml:space="preserve">Walk-away with this structure</t>
  </si>
  <si>
    <t xml:space="preserve">Same property, same NOI. Only the financing changed. The cap-rate and per-unit tests still apply.</t>
  </si>
  <si>
    <t xml:space="preserve">Investment summary</t>
  </si>
  <si>
    <t xml:space="preserve">Income and expenses</t>
  </si>
  <si>
    <t xml:space="preserve">Metrics vs buy box</t>
  </si>
  <si>
    <t xml:space="preserve">Current</t>
  </si>
  <si>
    <t xml:space="preserve">Gross potential rent</t>
  </si>
  <si>
    <t xml:space="preserve">Other income</t>
  </si>
  <si>
    <t xml:space="preserve">Vacancy and credit loss</t>
  </si>
  <si>
    <t xml:space="preserve">Cap rate, stabilized</t>
  </si>
  <si>
    <t xml:space="preserve">Net operating income</t>
  </si>
  <si>
    <t xml:space="preserve">Yield on cost (all-in)</t>
  </si>
  <si>
    <t xml:space="preserve">Cash needed</t>
  </si>
  <si>
    <t xml:space="preserve">Red = misses your buy box; green = meets it. Yield on cost = NOI / (price + closing + CapEx now).</t>
  </si>
  <si>
    <t xml:space="preserve">Taxes, CapEx and risk</t>
  </si>
  <si>
    <t xml:space="preserve">Upside and offer</t>
  </si>
  <si>
    <t xml:space="preserve">Seller's tax bill</t>
  </si>
  <si>
    <t xml:space="preserve">Value-add income / yr</t>
  </si>
  <si>
    <t xml:space="preserve">Your tax (underwritten)</t>
  </si>
  <si>
    <t xml:space="preserve">Value-add cost</t>
  </si>
  <si>
    <t xml:space="preserve">CapEx now</t>
  </si>
  <si>
    <t xml:space="preserve">Value created (at market cap)</t>
  </si>
  <si>
    <t xml:space="preserve">CapEx in 1 to 2 years</t>
  </si>
  <si>
    <t xml:space="preserve">Due diligence issues found</t>
  </si>
  <si>
    <t xml:space="preserve">Due diligence items open</t>
  </si>
  <si>
    <t xml:space="preserve">Walk-away price</t>
  </si>
  <si>
    <t xml:space="preserve">Inspection credit to ask for</t>
  </si>
  <si>
    <t xml:space="preserve">Blind spots checked</t>
  </si>
  <si>
    <t xml:space="preserve">Open</t>
  </si>
  <si>
    <t xml:space="preserve">#5 Units that aren't legal</t>
  </si>
  <si>
    <t xml:space="preserve">#6 Who pays the heat and water</t>
  </si>
  <si>
    <t xml:space="preserve">#3 The missing lines</t>
  </si>
  <si>
    <t xml:space="preserve">#7 Deferred CapEx priced at zero</t>
  </si>
  <si>
    <t xml:space="preserve">#4 The seller's tax bill</t>
  </si>
  <si>
    <t xml:space="preserve">Verdict</t>
  </si>
  <si>
    <t xml:space="preserve">Decision</t>
  </si>
  <si>
    <t xml:space="preserve">Why, in one sentence</t>
  </si>
  <si>
    <t xml:space="preserve">From Listing to Offer | Simon Asselin, relea.ai | Educational use only, not financial advice</t>
  </si>
</sst>
</file>

<file path=xl/styles.xml><?xml version="1.0" encoding="utf-8"?>
<styleSheet xmlns="http://schemas.openxmlformats.org/spreadsheetml/2006/main">
  <numFmts count="12">
    <numFmt numFmtId="164" formatCode="General"/>
    <numFmt numFmtId="165" formatCode="\$#,##0;&quot;($&quot;#,##0\);\-"/>
    <numFmt numFmtId="166" formatCode="#,##0;\(#,##0\);\-"/>
    <numFmt numFmtId="167" formatCode="0"/>
    <numFmt numFmtId="168" formatCode="0.0%;\(0.0%\);\-"/>
    <numFmt numFmtId="169" formatCode="0.00%;\(0.00%\);\-"/>
    <numFmt numFmtId="170" formatCode="0.00\x;\(0.00&quot;x)&quot;;\-"/>
    <numFmt numFmtId="171" formatCode="0.0"/>
    <numFmt numFmtId="172" formatCode="0.0000"/>
    <numFmt numFmtId="173" formatCode="0.000%"/>
    <numFmt numFmtId="174" formatCode="0.0;\(0.0\);\-"/>
    <numFmt numFmtId="175" formatCode="0.00"/>
  </numFmts>
  <fonts count="15">
    <font>
      <sz val="11"/>
      <color theme="1"/>
      <name val="Calibri"/>
      <family val="2"/>
      <charset val="1"/>
    </font>
    <font>
      <sz val="10"/>
      <name val="Arial"/>
      <family val="0"/>
    </font>
    <font>
      <sz val="10"/>
      <name val="Arial"/>
      <family val="0"/>
    </font>
    <font>
      <sz val="10"/>
      <name val="Arial"/>
      <family val="0"/>
    </font>
    <font>
      <b val="true"/>
      <sz val="16"/>
      <color rgb="FF2A2723"/>
      <name val="Arial"/>
      <family val="0"/>
      <charset val="1"/>
    </font>
    <font>
      <i val="true"/>
      <sz val="10"/>
      <color rgb="FF6D6862"/>
      <name val="Arial"/>
      <family val="0"/>
      <charset val="1"/>
    </font>
    <font>
      <i val="true"/>
      <sz val="9"/>
      <color rgb="FF6D6862"/>
      <name val="Arial"/>
      <family val="0"/>
      <charset val="1"/>
    </font>
    <font>
      <b val="true"/>
      <sz val="10"/>
      <color rgb="FFFFFFFF"/>
      <name val="Arial"/>
      <family val="0"/>
      <charset val="1"/>
    </font>
    <font>
      <sz val="10"/>
      <color rgb="FF2A2723"/>
      <name val="Arial"/>
      <family val="0"/>
      <charset val="1"/>
    </font>
    <font>
      <b val="true"/>
      <sz val="9"/>
      <color rgb="FF2A2723"/>
      <name val="Arial"/>
      <family val="0"/>
      <charset val="1"/>
    </font>
    <font>
      <b val="true"/>
      <sz val="10"/>
      <color rgb="FF2A2723"/>
      <name val="Arial"/>
      <family val="0"/>
      <charset val="1"/>
    </font>
    <font>
      <sz val="10"/>
      <color rgb="FF0000FF"/>
      <name val="Arial"/>
      <family val="0"/>
      <charset val="1"/>
    </font>
    <font>
      <sz val="10"/>
      <color rgb="FF008000"/>
      <name val="Arial"/>
      <family val="0"/>
      <charset val="1"/>
    </font>
    <font>
      <b val="true"/>
      <sz val="10"/>
      <color rgb="FFC4514B"/>
      <name val="Arial"/>
      <family val="0"/>
      <charset val="1"/>
    </font>
    <font>
      <b val="true"/>
      <sz val="10"/>
      <color rgb="FF008000"/>
      <name val="Arial"/>
      <family val="0"/>
      <charset val="1"/>
    </font>
  </fonts>
  <fills count="8">
    <fill>
      <patternFill patternType="none"/>
    </fill>
    <fill>
      <patternFill patternType="gray125"/>
    </fill>
    <fill>
      <patternFill patternType="solid">
        <fgColor rgb="FF3D7A5F"/>
        <bgColor rgb="FF6D6862"/>
      </patternFill>
    </fill>
    <fill>
      <patternFill patternType="solid">
        <fgColor rgb="FFE8F2EC"/>
        <bgColor rgb="FFFDF0EF"/>
      </patternFill>
    </fill>
    <fill>
      <patternFill patternType="solid">
        <fgColor rgb="FFFFF2CC"/>
        <bgColor rgb="FFFDF6EC"/>
      </patternFill>
    </fill>
    <fill>
      <patternFill patternType="solid">
        <fgColor rgb="FFFDF0EF"/>
        <bgColor rgb="FFFDF6EC"/>
      </patternFill>
    </fill>
    <fill>
      <patternFill patternType="solid">
        <fgColor rgb="FFFDF6EC"/>
        <bgColor rgb="FFFDF0EF"/>
      </patternFill>
    </fill>
    <fill>
      <patternFill patternType="solid">
        <fgColor rgb="FFFAFAF7"/>
        <bgColor rgb="FFFDF6EC"/>
      </patternFill>
    </fill>
  </fills>
  <borders count="4">
    <border diagonalUp="false" diagonalDown="false">
      <left/>
      <right/>
      <top/>
      <bottom/>
      <diagonal/>
    </border>
    <border diagonalUp="false" diagonalDown="false">
      <left style="thin">
        <color rgb="FFE6E2DB"/>
      </left>
      <right style="thin">
        <color rgb="FFE6E2DB"/>
      </right>
      <top style="thin">
        <color rgb="FFE6E2DB"/>
      </top>
      <bottom style="thin">
        <color rgb="FFE6E2DB"/>
      </bottom>
      <diagonal/>
    </border>
    <border diagonalUp="false" diagonalDown="false">
      <left style="thin">
        <color rgb="FFE6E2DB"/>
      </left>
      <right/>
      <top style="thin">
        <color rgb="FFE6E2DB"/>
      </top>
      <bottom style="thin">
        <color rgb="FFE6E2DB"/>
      </bottom>
      <diagonal/>
    </border>
    <border diagonalUp="false" diagonalDown="false">
      <left style="thin">
        <color rgb="FFE6E2DB"/>
      </left>
      <right/>
      <top style="thin">
        <color rgb="FFE6E2D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5" fontId="12" fillId="0"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70" fontId="11"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3" fillId="5" borderId="0" xfId="0" applyFont="true" applyBorder="true" applyAlignment="true" applyProtection="false">
      <alignment horizontal="general" vertical="center" textRotation="0" wrapText="true" indent="0" shrinkToFit="false"/>
      <protection locked="true" hidden="false"/>
    </xf>
    <xf numFmtId="164" fontId="8" fillId="6" borderId="0" xfId="0" applyFont="true" applyBorder="true" applyAlignment="true" applyProtection="false">
      <alignment horizontal="general" vertical="center" textRotation="0" wrapText="true" indent="0" shrinkToFit="false"/>
      <protection locked="true" hidden="false"/>
    </xf>
    <xf numFmtId="166" fontId="10" fillId="7" borderId="1" xfId="0" applyFont="true" applyBorder="true" applyAlignment="false" applyProtection="false">
      <alignment horizontal="general" vertical="bottom" textRotation="0" wrapText="false" indent="0" shrinkToFit="false"/>
      <protection locked="true" hidden="false"/>
    </xf>
    <xf numFmtId="165" fontId="10" fillId="7" borderId="1" xfId="0" applyFont="true" applyBorder="true" applyAlignment="false" applyProtection="false">
      <alignment horizontal="general" vertical="bottom" textRotation="0" wrapText="false" indent="0" shrinkToFit="false"/>
      <protection locked="true" hidden="false"/>
    </xf>
    <xf numFmtId="168" fontId="10" fillId="7"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1" fillId="4"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5" fontId="11" fillId="4" borderId="2"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74" fontId="8"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8" fontId="12" fillId="0" borderId="1" xfId="0" applyFont="true" applyBorder="tru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70" fontId="12"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75" fontId="8" fillId="0"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74" fontId="11" fillId="4"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C4514B"/>
      </font>
    </dxf>
    <dxf>
      <font>
        <name val="Arial"/>
        <charset val="1"/>
        <family val="0"/>
        <b val="1"/>
        <color rgb="FF3D7A5F"/>
      </font>
    </dxf>
    <dxf>
      <font>
        <name val="Arial"/>
        <charset val="1"/>
        <family val="0"/>
        <b val="1"/>
        <color rgb="FF3D7A5F"/>
      </font>
      <fill>
        <patternFill>
          <bgColor rgb="FFE8F2EC"/>
        </patternFill>
      </fill>
    </dxf>
    <dxf>
      <font>
        <name val="Arial"/>
        <charset val="1"/>
        <family val="0"/>
        <b val="1"/>
        <color rgb="FFC4514B"/>
      </font>
      <fill>
        <patternFill>
          <bgColor rgb="FFFDF0EF"/>
        </patternFill>
      </fill>
    </dxf>
    <dxf>
      <font>
        <name val="Arial"/>
        <charset val="1"/>
        <family val="0"/>
        <b val="1"/>
        <color rgb="FFB8892F"/>
      </font>
    </dxf>
    <dxf>
      <font>
        <name val="Arial"/>
        <charset val="1"/>
        <family val="0"/>
        <b val="1"/>
        <color rgb="FFB8892F"/>
      </font>
      <fill>
        <patternFill>
          <bgColor rgb="FFFDF6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8892F"/>
      <rgbColor rgb="FF800080"/>
      <rgbColor rgb="FF008080"/>
      <rgbColor rgb="FFC0C0C0"/>
      <rgbColor rgb="FF808080"/>
      <rgbColor rgb="FF9999FF"/>
      <rgbColor rgb="FFC4514B"/>
      <rgbColor rgb="FFFFF2CC"/>
      <rgbColor rgb="FFE8F2EC"/>
      <rgbColor rgb="FF660066"/>
      <rgbColor rgb="FFFF8080"/>
      <rgbColor rgb="FF0066CC"/>
      <rgbColor rgb="FFE6E2DB"/>
      <rgbColor rgb="FF000080"/>
      <rgbColor rgb="FFFF00FF"/>
      <rgbColor rgb="FFFFFF00"/>
      <rgbColor rgb="FF00FFFF"/>
      <rgbColor rgb="FF800080"/>
      <rgbColor rgb="FF800000"/>
      <rgbColor rgb="FF008080"/>
      <rgbColor rgb="FF0000FF"/>
      <rgbColor rgb="FF00CCFF"/>
      <rgbColor rgb="FFFAFAF7"/>
      <rgbColor rgb="FFFDF0EF"/>
      <rgbColor rgb="FFFDF6EC"/>
      <rgbColor rgb="FF99CCFF"/>
      <rgbColor rgb="FFFF99CC"/>
      <rgbColor rgb="FFCC99FF"/>
      <rgbColor rgb="FFFFCC99"/>
      <rgbColor rgb="FF3366FF"/>
      <rgbColor rgb="FF33CCCC"/>
      <rgbColor rgb="FF99CC00"/>
      <rgbColor rgb="FFFFCC00"/>
      <rgbColor rgb="FFFF9900"/>
      <rgbColor rgb="FFFF6600"/>
      <rgbColor rgb="FF6D6862"/>
      <rgbColor rgb="FF969696"/>
      <rgbColor rgb="FF003366"/>
      <rgbColor rgb="FF3D7A5F"/>
      <rgbColor rgb="FF003300"/>
      <rgbColor rgb="FF333300"/>
      <rgbColor rgb="FF993300"/>
      <rgbColor rgb="FF993366"/>
      <rgbColor rgb="FF333399"/>
      <rgbColor rgb="FF2A27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4" min="3" style="0" width="46"/>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8" hidden="false" customHeight="true" outlineLevel="0" collapsed="false">
      <c r="A5" s="4" t="s">
        <v>3</v>
      </c>
      <c r="B5" s="5"/>
      <c r="C5" s="5"/>
      <c r="D5" s="5"/>
    </row>
    <row r="6" customFormat="false" ht="18" hidden="false" customHeight="true" outlineLevel="0" collapsed="false">
      <c r="A6" s="6" t="s">
        <v>4</v>
      </c>
      <c r="B6" s="6"/>
      <c r="C6" s="6"/>
      <c r="D6" s="6"/>
    </row>
    <row r="7" customFormat="false" ht="18" hidden="false" customHeight="true" outlineLevel="0" collapsed="false">
      <c r="A7" s="6" t="s">
        <v>5</v>
      </c>
      <c r="B7" s="6"/>
      <c r="C7" s="6"/>
      <c r="D7" s="6"/>
    </row>
    <row r="8" customFormat="false" ht="48" hidden="false" customHeight="true" outlineLevel="0" collapsed="false">
      <c r="A8" s="6" t="s">
        <v>6</v>
      </c>
      <c r="B8" s="6"/>
      <c r="C8" s="6"/>
      <c r="D8" s="6"/>
    </row>
    <row r="9" customFormat="false" ht="18" hidden="false" customHeight="true" outlineLevel="0" collapsed="false">
      <c r="A9" s="6" t="s">
        <v>7</v>
      </c>
      <c r="B9" s="6"/>
      <c r="C9" s="6"/>
      <c r="D9" s="6"/>
    </row>
    <row r="10" customFormat="false" ht="33" hidden="false" customHeight="true" outlineLevel="0" collapsed="false">
      <c r="A10" s="6" t="s">
        <v>8</v>
      </c>
      <c r="B10" s="6"/>
      <c r="C10" s="6"/>
      <c r="D10" s="6"/>
    </row>
    <row r="12" customFormat="false" ht="18" hidden="false" customHeight="true" outlineLevel="0" collapsed="false">
      <c r="A12" s="4" t="s">
        <v>9</v>
      </c>
      <c r="B12" s="5"/>
      <c r="C12" s="5"/>
      <c r="D12" s="5"/>
    </row>
    <row r="13" customFormat="false" ht="27.75" hidden="false" customHeight="true" outlineLevel="0" collapsed="false">
      <c r="A13" s="7" t="s">
        <v>10</v>
      </c>
      <c r="B13" s="7" t="s">
        <v>11</v>
      </c>
      <c r="C13" s="7" t="s">
        <v>12</v>
      </c>
      <c r="D13" s="7" t="s">
        <v>13</v>
      </c>
    </row>
    <row r="14" customFormat="false" ht="27.75" hidden="false" customHeight="true" outlineLevel="0" collapsed="false">
      <c r="A14" s="8" t="s">
        <v>14</v>
      </c>
      <c r="B14" s="8" t="s">
        <v>15</v>
      </c>
      <c r="C14" s="9" t="s">
        <v>16</v>
      </c>
      <c r="D14" s="9" t="s">
        <v>17</v>
      </c>
    </row>
    <row r="15" customFormat="false" ht="27.75" hidden="false" customHeight="true" outlineLevel="0" collapsed="false">
      <c r="A15" s="8" t="s">
        <v>18</v>
      </c>
      <c r="B15" s="8" t="s">
        <v>19</v>
      </c>
      <c r="C15" s="9" t="s">
        <v>20</v>
      </c>
      <c r="D15" s="9" t="s">
        <v>21</v>
      </c>
    </row>
    <row r="16" customFormat="false" ht="27.75" hidden="false" customHeight="true" outlineLevel="0" collapsed="false">
      <c r="A16" s="8" t="s">
        <v>22</v>
      </c>
      <c r="B16" s="8" t="s">
        <v>23</v>
      </c>
      <c r="C16" s="9" t="s">
        <v>24</v>
      </c>
      <c r="D16" s="9" t="s">
        <v>25</v>
      </c>
    </row>
    <row r="17" customFormat="false" ht="27.75" hidden="false" customHeight="true" outlineLevel="0" collapsed="false">
      <c r="A17" s="8" t="s">
        <v>26</v>
      </c>
      <c r="B17" s="8" t="s">
        <v>27</v>
      </c>
      <c r="C17" s="9" t="s">
        <v>28</v>
      </c>
      <c r="D17" s="9" t="s">
        <v>29</v>
      </c>
    </row>
    <row r="18" customFormat="false" ht="27.75" hidden="false" customHeight="true" outlineLevel="0" collapsed="false">
      <c r="A18" s="8" t="s">
        <v>30</v>
      </c>
      <c r="B18" s="8" t="s">
        <v>31</v>
      </c>
      <c r="C18" s="9" t="s">
        <v>32</v>
      </c>
      <c r="D18" s="9" t="s">
        <v>33</v>
      </c>
    </row>
    <row r="19" customFormat="false" ht="27.75" hidden="false" customHeight="true" outlineLevel="0" collapsed="false">
      <c r="A19" s="8" t="s">
        <v>34</v>
      </c>
      <c r="B19" s="8" t="s">
        <v>35</v>
      </c>
      <c r="C19" s="9" t="s">
        <v>36</v>
      </c>
      <c r="D19" s="9" t="s">
        <v>37</v>
      </c>
    </row>
    <row r="20" customFormat="false" ht="27.75" hidden="false" customHeight="true" outlineLevel="0" collapsed="false">
      <c r="A20" s="8" t="s">
        <v>38</v>
      </c>
      <c r="B20" s="8" t="s">
        <v>39</v>
      </c>
      <c r="C20" s="9" t="s">
        <v>40</v>
      </c>
      <c r="D20" s="9" t="s">
        <v>41</v>
      </c>
    </row>
    <row r="21" customFormat="false" ht="27.75" hidden="false" customHeight="true" outlineLevel="0" collapsed="false">
      <c r="A21" s="8" t="s">
        <v>42</v>
      </c>
      <c r="B21" s="8" t="s">
        <v>43</v>
      </c>
      <c r="C21" s="9" t="s">
        <v>44</v>
      </c>
      <c r="D21" s="9" t="s">
        <v>45</v>
      </c>
    </row>
    <row r="22" customFormat="false" ht="27.75" hidden="false" customHeight="true" outlineLevel="0" collapsed="false">
      <c r="A22" s="8" t="s">
        <v>46</v>
      </c>
      <c r="B22" s="8" t="s">
        <v>47</v>
      </c>
      <c r="C22" s="9" t="s">
        <v>48</v>
      </c>
      <c r="D22" s="9" t="s">
        <v>49</v>
      </c>
    </row>
    <row r="24" customFormat="false" ht="18" hidden="false" customHeight="true" outlineLevel="0" collapsed="false">
      <c r="A24" s="4" t="s">
        <v>50</v>
      </c>
      <c r="B24" s="5"/>
      <c r="C24" s="5"/>
      <c r="D24" s="5"/>
    </row>
    <row r="25" customFormat="false" ht="15" hidden="false" customHeight="false" outlineLevel="0" collapsed="false">
      <c r="A25" s="10" t="n">
        <v>1000</v>
      </c>
      <c r="B25" s="11" t="s">
        <v>51</v>
      </c>
    </row>
    <row r="26" customFormat="false" ht="15" hidden="false" customHeight="false" outlineLevel="0" collapsed="false">
      <c r="A26" s="12" t="n">
        <v>1000</v>
      </c>
      <c r="B26" s="11" t="s">
        <v>52</v>
      </c>
    </row>
    <row r="27" customFormat="false" ht="15" hidden="false" customHeight="false" outlineLevel="0" collapsed="false">
      <c r="A27" s="13" t="n">
        <v>1000</v>
      </c>
      <c r="B27" s="11" t="s">
        <v>53</v>
      </c>
    </row>
    <row r="28" customFormat="false" ht="15" hidden="false" customHeight="false" outlineLevel="0" collapsed="false">
      <c r="A28" s="14" t="s">
        <v>54</v>
      </c>
      <c r="B28" s="11" t="s">
        <v>55</v>
      </c>
    </row>
    <row r="30" customFormat="false" ht="18" hidden="false" customHeight="true" outlineLevel="0" collapsed="false">
      <c r="A30" s="4" t="s">
        <v>56</v>
      </c>
      <c r="B30" s="5"/>
      <c r="C30" s="5"/>
      <c r="D30" s="5"/>
    </row>
    <row r="31" customFormat="false" ht="43.5" hidden="false" customHeight="true" outlineLevel="0" collapsed="false">
      <c r="A31" s="6" t="s">
        <v>57</v>
      </c>
      <c r="B31" s="6"/>
      <c r="C31" s="6"/>
      <c r="D31" s="6"/>
    </row>
    <row r="33" customFormat="false" ht="15" hidden="false" customHeight="true" outlineLevel="0" collapsed="false">
      <c r="A33" s="15" t="s">
        <v>58</v>
      </c>
      <c r="B33" s="15"/>
      <c r="C33" s="15"/>
      <c r="D33" s="15"/>
    </row>
  </sheetData>
  <mergeCells count="7">
    <mergeCell ref="A6:D6"/>
    <mergeCell ref="A7:D7"/>
    <mergeCell ref="A8:D8"/>
    <mergeCell ref="A9:D9"/>
    <mergeCell ref="A10:D10"/>
    <mergeCell ref="A31:D31"/>
    <mergeCell ref="A33:D33"/>
  </mergeCell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16"/>
    <col collapsed="false" customWidth="true" hidden="false" outlineLevel="0" max="4" min="4" style="0" width="58"/>
  </cols>
  <sheetData>
    <row r="1" customFormat="false" ht="24" hidden="false" customHeight="true" outlineLevel="0" collapsed="false">
      <c r="A1" s="1" t="s">
        <v>59</v>
      </c>
    </row>
    <row r="2" customFormat="false" ht="15" hidden="false" customHeight="false" outlineLevel="0" collapsed="false">
      <c r="A2" s="2" t="s">
        <v>16</v>
      </c>
    </row>
    <row r="4" customFormat="false" ht="18" hidden="false" customHeight="true" outlineLevel="0" collapsed="false">
      <c r="A4" s="4" t="s">
        <v>60</v>
      </c>
      <c r="B4" s="5"/>
      <c r="C4" s="5"/>
      <c r="D4" s="5"/>
    </row>
    <row r="5" customFormat="false" ht="15" hidden="false" customHeight="false" outlineLevel="0" collapsed="false">
      <c r="A5" s="11" t="s">
        <v>61</v>
      </c>
      <c r="B5" s="16"/>
      <c r="D5" s="17" t="s">
        <v>62</v>
      </c>
    </row>
    <row r="6" customFormat="false" ht="15" hidden="false" customHeight="false" outlineLevel="0" collapsed="false">
      <c r="A6" s="11" t="s">
        <v>63</v>
      </c>
      <c r="B6" s="16"/>
      <c r="D6" s="17"/>
    </row>
    <row r="7" customFormat="false" ht="15" hidden="false" customHeight="false" outlineLevel="0" collapsed="false">
      <c r="A7" s="11" t="s">
        <v>64</v>
      </c>
      <c r="B7" s="18"/>
      <c r="D7" s="17" t="s">
        <v>65</v>
      </c>
    </row>
    <row r="8" customFormat="false" ht="15" hidden="false" customHeight="false" outlineLevel="0" collapsed="false">
      <c r="A8" s="11" t="s">
        <v>66</v>
      </c>
      <c r="B8" s="10"/>
      <c r="D8" s="17"/>
    </row>
    <row r="9" customFormat="false" ht="15" hidden="false" customHeight="false" outlineLevel="0" collapsed="false">
      <c r="A9" s="11" t="s">
        <v>67</v>
      </c>
      <c r="B9" s="19"/>
      <c r="D9" s="17" t="s">
        <v>68</v>
      </c>
    </row>
    <row r="10" customFormat="false" ht="15" hidden="false" customHeight="false" outlineLevel="0" collapsed="false">
      <c r="A10" s="11" t="s">
        <v>69</v>
      </c>
      <c r="B10" s="18"/>
      <c r="D10" s="17"/>
    </row>
    <row r="11" customFormat="false" ht="15" hidden="false" customHeight="false" outlineLevel="0" collapsed="false">
      <c r="A11" s="11" t="s">
        <v>70</v>
      </c>
      <c r="B11" s="16"/>
      <c r="D11" s="17"/>
    </row>
    <row r="12" customFormat="false" ht="15" hidden="false" customHeight="false" outlineLevel="0" collapsed="false">
      <c r="A12" s="11" t="s">
        <v>71</v>
      </c>
      <c r="B12" s="18"/>
      <c r="D12" s="17" t="s">
        <v>72</v>
      </c>
    </row>
    <row r="13" customFormat="false" ht="15" hidden="false" customHeight="false" outlineLevel="0" collapsed="false">
      <c r="A13" s="11" t="s">
        <v>73</v>
      </c>
      <c r="B13" s="19" t="n">
        <v>2026</v>
      </c>
      <c r="D13" s="17" t="s">
        <v>74</v>
      </c>
    </row>
    <row r="15" customFormat="false" ht="18" hidden="false" customHeight="true" outlineLevel="0" collapsed="false">
      <c r="A15" s="4" t="s">
        <v>75</v>
      </c>
      <c r="B15" s="5"/>
      <c r="C15" s="5"/>
      <c r="D15" s="5"/>
    </row>
    <row r="16" customFormat="false" ht="15" hidden="false" customHeight="false" outlineLevel="0" collapsed="false">
      <c r="A16" s="20" t="s">
        <v>76</v>
      </c>
      <c r="B16" s="10" t="n">
        <f aca="false">AskingPrice</f>
        <v>0</v>
      </c>
      <c r="D16" s="17" t="s">
        <v>77</v>
      </c>
    </row>
    <row r="17" customFormat="false" ht="15" hidden="false" customHeight="false" outlineLevel="0" collapsed="false">
      <c r="A17" s="11" t="s">
        <v>78</v>
      </c>
      <c r="B17" s="21" t="n">
        <v>0.25</v>
      </c>
      <c r="D17" s="17" t="s">
        <v>79</v>
      </c>
    </row>
    <row r="18" customFormat="false" ht="15" hidden="false" customHeight="false" outlineLevel="0" collapsed="false">
      <c r="A18" s="11" t="s">
        <v>80</v>
      </c>
      <c r="B18" s="22" t="n">
        <v>0.07</v>
      </c>
      <c r="D18" s="17" t="s">
        <v>81</v>
      </c>
    </row>
    <row r="19" customFormat="false" ht="15" hidden="false" customHeight="false" outlineLevel="0" collapsed="false">
      <c r="A19" s="11" t="s">
        <v>82</v>
      </c>
      <c r="B19" s="18" t="n">
        <v>30</v>
      </c>
      <c r="D19" s="17" t="s">
        <v>83</v>
      </c>
    </row>
    <row r="20" customFormat="false" ht="15" hidden="false" customHeight="false" outlineLevel="0" collapsed="false">
      <c r="A20" s="11" t="s">
        <v>84</v>
      </c>
      <c r="B20" s="21" t="n">
        <v>0.03</v>
      </c>
      <c r="D20" s="17" t="s">
        <v>85</v>
      </c>
    </row>
    <row r="21" customFormat="false" ht="15" hidden="false" customHeight="false" outlineLevel="0" collapsed="false">
      <c r="A21" s="11" t="s">
        <v>86</v>
      </c>
      <c r="B21" s="23" t="n">
        <f aca="false">1-DownPct</f>
        <v>0.75</v>
      </c>
    </row>
    <row r="22" customFormat="false" ht="15" hidden="false" customHeight="false" outlineLevel="0" collapsed="false">
      <c r="A22" s="11" t="s">
        <v>87</v>
      </c>
      <c r="B22" s="12" t="n">
        <f aca="false">Price*LTV</f>
        <v>0</v>
      </c>
    </row>
    <row r="23" customFormat="false" ht="15" hidden="false" customHeight="false" outlineLevel="0" collapsed="false">
      <c r="A23" s="11" t="s">
        <v>88</v>
      </c>
      <c r="B23" s="12" t="n">
        <f aca="false">IFERROR(-PMT(Rate/12,AmortYears*12,Loan)*12,0)</f>
        <v>0</v>
      </c>
      <c r="D23" s="17" t="s">
        <v>89</v>
      </c>
    </row>
    <row r="24" customFormat="false" ht="15" hidden="false" customHeight="false" outlineLevel="0" collapsed="false">
      <c r="A24" s="11" t="s">
        <v>90</v>
      </c>
      <c r="B24" s="24" t="n">
        <f aca="false">IFERROR(-PMT(Rate/12,AmortYears*12,1)*12,0)</f>
        <v>0.079836299421502</v>
      </c>
      <c r="D24" s="17" t="s">
        <v>91</v>
      </c>
    </row>
    <row r="26" customFormat="false" ht="18" hidden="false" customHeight="true" outlineLevel="0" collapsed="false">
      <c r="A26" s="4" t="s">
        <v>92</v>
      </c>
      <c r="B26" s="5"/>
      <c r="C26" s="5"/>
      <c r="D26" s="5"/>
    </row>
    <row r="27" customFormat="false" ht="15" hidden="false" customHeight="false" outlineLevel="0" collapsed="false">
      <c r="A27" s="11" t="s">
        <v>93</v>
      </c>
      <c r="B27" s="21" t="n">
        <v>0.08</v>
      </c>
      <c r="D27" s="17" t="s">
        <v>94</v>
      </c>
    </row>
    <row r="28" customFormat="false" ht="15" hidden="false" customHeight="false" outlineLevel="0" collapsed="false">
      <c r="A28" s="11" t="s">
        <v>95</v>
      </c>
      <c r="B28" s="25" t="n">
        <v>1.25</v>
      </c>
      <c r="D28" s="17" t="s">
        <v>96</v>
      </c>
    </row>
    <row r="29" customFormat="false" ht="15" hidden="false" customHeight="false" outlineLevel="0" collapsed="false">
      <c r="A29" s="11" t="s">
        <v>97</v>
      </c>
      <c r="B29" s="21" t="n">
        <v>0.06</v>
      </c>
      <c r="D29" s="17"/>
    </row>
    <row r="30" customFormat="false" ht="15" hidden="false" customHeight="false" outlineLevel="0" collapsed="false">
      <c r="A30" s="11" t="s">
        <v>98</v>
      </c>
      <c r="B30" s="21" t="n">
        <v>0.07</v>
      </c>
      <c r="D30" s="17" t="s">
        <v>99</v>
      </c>
    </row>
    <row r="31" customFormat="false" ht="15" hidden="false" customHeight="false" outlineLevel="0" collapsed="false">
      <c r="A31" s="11" t="s">
        <v>100</v>
      </c>
      <c r="B31" s="10"/>
      <c r="D31" s="17"/>
    </row>
    <row r="33" customFormat="false" ht="18" hidden="false" customHeight="true" outlineLevel="0" collapsed="false">
      <c r="A33" s="4" t="s">
        <v>101</v>
      </c>
      <c r="B33" s="5"/>
      <c r="C33" s="5"/>
      <c r="D33" s="5"/>
    </row>
    <row r="34" customFormat="false" ht="27.75" hidden="false" customHeight="true" outlineLevel="0" collapsed="false">
      <c r="A34" s="7" t="s">
        <v>102</v>
      </c>
      <c r="B34" s="7" t="s">
        <v>103</v>
      </c>
      <c r="C34" s="7" t="s">
        <v>104</v>
      </c>
      <c r="D34" s="7" t="s">
        <v>105</v>
      </c>
    </row>
    <row r="35" customFormat="false" ht="15" hidden="false" customHeight="false" outlineLevel="0" collapsed="false">
      <c r="A35" s="26" t="s">
        <v>106</v>
      </c>
      <c r="B35" s="16"/>
      <c r="C35" s="26" t="s">
        <v>107</v>
      </c>
      <c r="D35" s="27"/>
    </row>
    <row r="36" customFormat="false" ht="15" hidden="false" customHeight="false" outlineLevel="0" collapsed="false">
      <c r="A36" s="26" t="s">
        <v>108</v>
      </c>
      <c r="B36" s="16"/>
      <c r="C36" s="26" t="s">
        <v>107</v>
      </c>
      <c r="D36" s="27"/>
    </row>
    <row r="37" customFormat="false" ht="15" hidden="false" customHeight="false" outlineLevel="0" collapsed="false">
      <c r="A37" s="26" t="s">
        <v>109</v>
      </c>
      <c r="B37" s="16"/>
      <c r="C37" s="26" t="s">
        <v>107</v>
      </c>
      <c r="D37" s="27" t="s">
        <v>110</v>
      </c>
    </row>
    <row r="38" customFormat="false" ht="15" hidden="false" customHeight="false" outlineLevel="0" collapsed="false">
      <c r="A38" s="26" t="s">
        <v>111</v>
      </c>
      <c r="B38" s="16"/>
      <c r="C38" s="26" t="s">
        <v>107</v>
      </c>
      <c r="D38" s="27" t="s">
        <v>112</v>
      </c>
    </row>
    <row r="39" customFormat="false" ht="15" hidden="false" customHeight="false" outlineLevel="0" collapsed="false">
      <c r="A39" s="26" t="s">
        <v>113</v>
      </c>
      <c r="B39" s="16"/>
      <c r="C39" s="26" t="s">
        <v>114</v>
      </c>
      <c r="D39" s="27" t="s">
        <v>115</v>
      </c>
    </row>
    <row r="40" customFormat="false" ht="15" hidden="false" customHeight="false" outlineLevel="0" collapsed="false">
      <c r="A40" s="26" t="s">
        <v>116</v>
      </c>
      <c r="B40" s="16"/>
      <c r="C40" s="26" t="s">
        <v>114</v>
      </c>
      <c r="D40" s="27" t="s">
        <v>115</v>
      </c>
    </row>
    <row r="41" customFormat="false" ht="15" hidden="false" customHeight="false" outlineLevel="0" collapsed="false">
      <c r="A41" s="26" t="s">
        <v>117</v>
      </c>
      <c r="B41" s="16"/>
      <c r="C41" s="26" t="s">
        <v>114</v>
      </c>
      <c r="D41" s="27"/>
    </row>
    <row r="42" customFormat="false" ht="15" hidden="false" customHeight="false" outlineLevel="0" collapsed="false">
      <c r="A42" s="26" t="s">
        <v>118</v>
      </c>
      <c r="B42" s="16"/>
      <c r="C42" s="26" t="s">
        <v>114</v>
      </c>
      <c r="D42" s="27" t="s">
        <v>119</v>
      </c>
    </row>
    <row r="43" customFormat="false" ht="15" hidden="false" customHeight="false" outlineLevel="0" collapsed="false">
      <c r="A43" s="26" t="s">
        <v>120</v>
      </c>
      <c r="B43" s="16"/>
      <c r="C43" s="26" t="s">
        <v>121</v>
      </c>
      <c r="D43" s="27" t="s">
        <v>122</v>
      </c>
    </row>
    <row r="44" customFormat="false" ht="15" hidden="false" customHeight="false" outlineLevel="0" collapsed="false">
      <c r="A44" s="26" t="s">
        <v>123</v>
      </c>
      <c r="B44" s="16"/>
      <c r="C44" s="26" t="s">
        <v>121</v>
      </c>
      <c r="D44" s="27" t="s">
        <v>124</v>
      </c>
    </row>
    <row r="45" customFormat="false" ht="15" hidden="false" customHeight="false" outlineLevel="0" collapsed="false">
      <c r="A45" s="26" t="s">
        <v>125</v>
      </c>
      <c r="B45" s="16"/>
      <c r="C45" s="26" t="s">
        <v>121</v>
      </c>
      <c r="D45" s="27" t="s">
        <v>126</v>
      </c>
    </row>
    <row r="46" customFormat="false" ht="15" hidden="false" customHeight="false" outlineLevel="0" collapsed="false">
      <c r="A46" s="26" t="s">
        <v>127</v>
      </c>
      <c r="B46" s="16"/>
      <c r="C46" s="26" t="s">
        <v>121</v>
      </c>
      <c r="D46" s="27" t="s">
        <v>128</v>
      </c>
    </row>
    <row r="47" customFormat="false" ht="15" hidden="false" customHeight="false" outlineLevel="0" collapsed="false">
      <c r="A47" s="26" t="s">
        <v>129</v>
      </c>
      <c r="B47" s="16"/>
      <c r="C47" s="26" t="s">
        <v>121</v>
      </c>
      <c r="D47" s="27"/>
    </row>
    <row r="49" customFormat="false" ht="37.5" hidden="false" customHeight="true" outlineLevel="0" collapsed="false">
      <c r="A49" s="28" t="s">
        <v>130</v>
      </c>
      <c r="B49" s="28"/>
      <c r="C49" s="28"/>
      <c r="D49" s="28"/>
    </row>
    <row r="50" customFormat="false" ht="37.5" hidden="false" customHeight="true" outlineLevel="0" collapsed="false">
      <c r="A50" s="29" t="s">
        <v>131</v>
      </c>
      <c r="B50" s="29"/>
      <c r="C50" s="29"/>
      <c r="D50" s="29"/>
    </row>
  </sheetData>
  <mergeCells count="2">
    <mergeCell ref="A49:D49"/>
    <mergeCell ref="A50:D50"/>
  </mergeCells>
  <conditionalFormatting sqref="B35:B47">
    <cfRule type="cellIs" priority="2" operator="equal" aboveAverage="0" equalAverage="0" bottom="0" percent="0" rank="0" text="" dxfId="0">
      <formula>"Missing"</formula>
    </cfRule>
  </conditionalFormatting>
  <dataValidations count="1">
    <dataValidation allowBlank="true" errorStyle="stop" operator="between" showDropDown="false" showErrorMessage="false" showInputMessage="false" sqref="B35:B47" type="list">
      <formula1>"Have,Requested,Missing,N/A"</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9"/>
    <col collapsed="false" customWidth="true" hidden="false" outlineLevel="0" max="3" min="3" style="0" width="10"/>
    <col collapsed="false" customWidth="true" hidden="false" outlineLevel="0" max="4" min="4" style="0" width="8"/>
    <col collapsed="false" customWidth="true" hidden="false" outlineLevel="0" max="5" min="5" style="0" width="11"/>
    <col collapsed="false" customWidth="true" hidden="false" outlineLevel="0" max="6" min="6" style="0" width="12"/>
    <col collapsed="false" customWidth="true" hidden="false" outlineLevel="0" max="7" min="7" style="0" width="14"/>
    <col collapsed="false" customWidth="true" hidden="false" outlineLevel="0" max="8" min="8" style="0" width="10"/>
    <col collapsed="false" customWidth="true" hidden="false" outlineLevel="0" max="12" min="9" style="0" width="11"/>
    <col collapsed="false" customWidth="true" hidden="false" outlineLevel="0" max="13" min="13" style="0" width="9"/>
    <col collapsed="false" customWidth="true" hidden="false" outlineLevel="0" max="14" min="14" style="0" width="12"/>
    <col collapsed="false" customWidth="true" hidden="false" outlineLevel="0" max="15" min="15" style="0" width="30"/>
  </cols>
  <sheetData>
    <row r="1" customFormat="false" ht="24" hidden="false" customHeight="true" outlineLevel="0" collapsed="false">
      <c r="A1" s="1" t="s">
        <v>132</v>
      </c>
    </row>
    <row r="2" customFormat="false" ht="15" hidden="false" customHeight="false" outlineLevel="0" collapsed="false">
      <c r="A2" s="2" t="s">
        <v>20</v>
      </c>
    </row>
    <row r="4" customFormat="false" ht="18" hidden="false" customHeight="true" outlineLevel="0" collapsed="false">
      <c r="A4" s="4" t="s">
        <v>133</v>
      </c>
      <c r="B4" s="5"/>
      <c r="C4" s="5"/>
      <c r="D4" s="5"/>
      <c r="E4" s="5"/>
      <c r="F4" s="5"/>
      <c r="G4" s="5"/>
      <c r="H4" s="5"/>
      <c r="I4" s="5"/>
      <c r="J4" s="5"/>
      <c r="K4" s="5"/>
      <c r="L4" s="5"/>
      <c r="M4" s="5"/>
      <c r="N4" s="5"/>
      <c r="O4" s="5"/>
    </row>
    <row r="5" customFormat="false" ht="27.75" hidden="false" customHeight="true" outlineLevel="0" collapsed="false">
      <c r="A5" s="7" t="s">
        <v>134</v>
      </c>
      <c r="B5" s="7" t="s">
        <v>135</v>
      </c>
      <c r="C5" s="7" t="s">
        <v>136</v>
      </c>
      <c r="D5" s="7" t="s">
        <v>137</v>
      </c>
      <c r="E5" s="7" t="s">
        <v>138</v>
      </c>
      <c r="F5" s="7" t="s">
        <v>139</v>
      </c>
      <c r="G5" s="7" t="s">
        <v>103</v>
      </c>
      <c r="H5" s="7" t="s">
        <v>140</v>
      </c>
      <c r="I5" s="7" t="s">
        <v>141</v>
      </c>
      <c r="J5" s="7" t="s">
        <v>142</v>
      </c>
      <c r="K5" s="7" t="s">
        <v>143</v>
      </c>
      <c r="L5" s="7" t="s">
        <v>144</v>
      </c>
      <c r="M5" s="7" t="s">
        <v>145</v>
      </c>
      <c r="N5" s="7" t="s">
        <v>146</v>
      </c>
      <c r="O5" s="7" t="s">
        <v>147</v>
      </c>
    </row>
    <row r="6" customFormat="false" ht="15" hidden="false" customHeight="false" outlineLevel="0" collapsed="false">
      <c r="A6" s="16"/>
      <c r="B6" s="16"/>
      <c r="C6" s="16"/>
      <c r="D6" s="18"/>
      <c r="E6" s="10"/>
      <c r="F6" s="16"/>
      <c r="G6" s="16"/>
      <c r="H6" s="16"/>
      <c r="I6" s="13" t="str">
        <f aca="false">IF($C6="","",IFERROR(INDEX($K$55:$K$60,MATCH($C6,$A$55:$A$60,0)),""))</f>
        <v/>
      </c>
      <c r="J6" s="13" t="str">
        <f aca="false">IF($C6="","",IFERROR(INDEX($L$55:$L$60,MATCH($C6,$A$55:$A$60,0)),""))</f>
        <v/>
      </c>
      <c r="K6" s="12" t="str">
        <f aca="false">IF(OR(I6="",J6=""),"",(I6+J6)/2)</f>
        <v/>
      </c>
      <c r="L6" s="12" t="str">
        <f aca="false">IF(OR(K6="",E6=""),"",K6-E6)</f>
        <v/>
      </c>
      <c r="M6" s="23" t="str">
        <f aca="false">IF(OR(L6="",E6=0),"",L6/E6)</f>
        <v/>
      </c>
      <c r="N6" s="12" t="str">
        <f aca="false">IF(A6="","",IF(K6="",E6,K6))</f>
        <v/>
      </c>
      <c r="O6" s="26" t="str">
        <f aca="false">IF(A6="","",IF(K6="","Add comps for this type",IF(E6&gt;J6,"Above market: will it hold?",IF(E6&lt;I6,"Below market: upside, or a reason?","In range"))))</f>
        <v/>
      </c>
    </row>
    <row r="7" customFormat="false" ht="15" hidden="false" customHeight="false" outlineLevel="0" collapsed="false">
      <c r="A7" s="16"/>
      <c r="B7" s="16"/>
      <c r="C7" s="16"/>
      <c r="D7" s="18"/>
      <c r="E7" s="10"/>
      <c r="F7" s="16"/>
      <c r="G7" s="16"/>
      <c r="H7" s="16"/>
      <c r="I7" s="13" t="str">
        <f aca="false">IF($C7="","",IFERROR(INDEX($K$55:$K$60,MATCH($C7,$A$55:$A$60,0)),""))</f>
        <v/>
      </c>
      <c r="J7" s="13" t="str">
        <f aca="false">IF($C7="","",IFERROR(INDEX($L$55:$L$60,MATCH($C7,$A$55:$A$60,0)),""))</f>
        <v/>
      </c>
      <c r="K7" s="12" t="str">
        <f aca="false">IF(OR(I7="",J7=""),"",(I7+J7)/2)</f>
        <v/>
      </c>
      <c r="L7" s="12" t="str">
        <f aca="false">IF(OR(K7="",E7=""),"",K7-E7)</f>
        <v/>
      </c>
      <c r="M7" s="23" t="str">
        <f aca="false">IF(OR(L7="",E7=0),"",L7/E7)</f>
        <v/>
      </c>
      <c r="N7" s="12" t="str">
        <f aca="false">IF(A7="","",IF(K7="",E7,K7))</f>
        <v/>
      </c>
      <c r="O7" s="26" t="str">
        <f aca="false">IF(A7="","",IF(K7="","Add comps for this type",IF(E7&gt;J7,"Above market: will it hold?",IF(E7&lt;I7,"Below market: upside, or a reason?","In range"))))</f>
        <v/>
      </c>
    </row>
    <row r="8" customFormat="false" ht="15" hidden="false" customHeight="false" outlineLevel="0" collapsed="false">
      <c r="A8" s="16"/>
      <c r="B8" s="16"/>
      <c r="C8" s="16"/>
      <c r="D8" s="18"/>
      <c r="E8" s="10"/>
      <c r="F8" s="16"/>
      <c r="G8" s="16"/>
      <c r="H8" s="16"/>
      <c r="I8" s="13" t="str">
        <f aca="false">IF($C8="","",IFERROR(INDEX($K$55:$K$60,MATCH($C8,$A$55:$A$60,0)),""))</f>
        <v/>
      </c>
      <c r="J8" s="13" t="str">
        <f aca="false">IF($C8="","",IFERROR(INDEX($L$55:$L$60,MATCH($C8,$A$55:$A$60,0)),""))</f>
        <v/>
      </c>
      <c r="K8" s="12" t="str">
        <f aca="false">IF(OR(I8="",J8=""),"",(I8+J8)/2)</f>
        <v/>
      </c>
      <c r="L8" s="12" t="str">
        <f aca="false">IF(OR(K8="",E8=""),"",K8-E8)</f>
        <v/>
      </c>
      <c r="M8" s="23" t="str">
        <f aca="false">IF(OR(L8="",E8=0),"",L8/E8)</f>
        <v/>
      </c>
      <c r="N8" s="12" t="str">
        <f aca="false">IF(A8="","",IF(K8="",E8,K8))</f>
        <v/>
      </c>
      <c r="O8" s="26" t="str">
        <f aca="false">IF(A8="","",IF(K8="","Add comps for this type",IF(E8&gt;J8,"Above market: will it hold?",IF(E8&lt;I8,"Below market: upside, or a reason?","In range"))))</f>
        <v/>
      </c>
    </row>
    <row r="9" customFormat="false" ht="15" hidden="false" customHeight="false" outlineLevel="0" collapsed="false">
      <c r="A9" s="16"/>
      <c r="B9" s="16"/>
      <c r="C9" s="16"/>
      <c r="D9" s="18"/>
      <c r="E9" s="10"/>
      <c r="F9" s="16"/>
      <c r="G9" s="16"/>
      <c r="H9" s="16"/>
      <c r="I9" s="13" t="str">
        <f aca="false">IF($C9="","",IFERROR(INDEX($K$55:$K$60,MATCH($C9,$A$55:$A$60,0)),""))</f>
        <v/>
      </c>
      <c r="J9" s="13" t="str">
        <f aca="false">IF($C9="","",IFERROR(INDEX($L$55:$L$60,MATCH($C9,$A$55:$A$60,0)),""))</f>
        <v/>
      </c>
      <c r="K9" s="12" t="str">
        <f aca="false">IF(OR(I9="",J9=""),"",(I9+J9)/2)</f>
        <v/>
      </c>
      <c r="L9" s="12" t="str">
        <f aca="false">IF(OR(K9="",E9=""),"",K9-E9)</f>
        <v/>
      </c>
      <c r="M9" s="23" t="str">
        <f aca="false">IF(OR(L9="",E9=0),"",L9/E9)</f>
        <v/>
      </c>
      <c r="N9" s="12" t="str">
        <f aca="false">IF(A9="","",IF(K9="",E9,K9))</f>
        <v/>
      </c>
      <c r="O9" s="26" t="str">
        <f aca="false">IF(A9="","",IF(K9="","Add comps for this type",IF(E9&gt;J9,"Above market: will it hold?",IF(E9&lt;I9,"Below market: upside, or a reason?","In range"))))</f>
        <v/>
      </c>
    </row>
    <row r="10" customFormat="false" ht="15" hidden="false" customHeight="false" outlineLevel="0" collapsed="false">
      <c r="A10" s="16"/>
      <c r="B10" s="16"/>
      <c r="C10" s="16"/>
      <c r="D10" s="18"/>
      <c r="E10" s="10"/>
      <c r="F10" s="16"/>
      <c r="G10" s="16"/>
      <c r="H10" s="16"/>
      <c r="I10" s="13" t="str">
        <f aca="false">IF($C10="","",IFERROR(INDEX($K$55:$K$60,MATCH($C10,$A$55:$A$60,0)),""))</f>
        <v/>
      </c>
      <c r="J10" s="13" t="str">
        <f aca="false">IF($C10="","",IFERROR(INDEX($L$55:$L$60,MATCH($C10,$A$55:$A$60,0)),""))</f>
        <v/>
      </c>
      <c r="K10" s="12" t="str">
        <f aca="false">IF(OR(I10="",J10=""),"",(I10+J10)/2)</f>
        <v/>
      </c>
      <c r="L10" s="12" t="str">
        <f aca="false">IF(OR(K10="",E10=""),"",K10-E10)</f>
        <v/>
      </c>
      <c r="M10" s="23" t="str">
        <f aca="false">IF(OR(L10="",E10=0),"",L10/E10)</f>
        <v/>
      </c>
      <c r="N10" s="12" t="str">
        <f aca="false">IF(A10="","",IF(K10="",E10,K10))</f>
        <v/>
      </c>
      <c r="O10" s="26" t="str">
        <f aca="false">IF(A10="","",IF(K10="","Add comps for this type",IF(E10&gt;J10,"Above market: will it hold?",IF(E10&lt;I10,"Below market: upside, or a reason?","In range"))))</f>
        <v/>
      </c>
    </row>
    <row r="11" customFormat="false" ht="15" hidden="false" customHeight="false" outlineLevel="0" collapsed="false">
      <c r="A11" s="16"/>
      <c r="B11" s="16"/>
      <c r="C11" s="16"/>
      <c r="D11" s="18"/>
      <c r="E11" s="10"/>
      <c r="F11" s="16"/>
      <c r="G11" s="16"/>
      <c r="H11" s="16"/>
      <c r="I11" s="13" t="str">
        <f aca="false">IF($C11="","",IFERROR(INDEX($K$55:$K$60,MATCH($C11,$A$55:$A$60,0)),""))</f>
        <v/>
      </c>
      <c r="J11" s="13" t="str">
        <f aca="false">IF($C11="","",IFERROR(INDEX($L$55:$L$60,MATCH($C11,$A$55:$A$60,0)),""))</f>
        <v/>
      </c>
      <c r="K11" s="12" t="str">
        <f aca="false">IF(OR(I11="",J11=""),"",(I11+J11)/2)</f>
        <v/>
      </c>
      <c r="L11" s="12" t="str">
        <f aca="false">IF(OR(K11="",E11=""),"",K11-E11)</f>
        <v/>
      </c>
      <c r="M11" s="23" t="str">
        <f aca="false">IF(OR(L11="",E11=0),"",L11/E11)</f>
        <v/>
      </c>
      <c r="N11" s="12" t="str">
        <f aca="false">IF(A11="","",IF(K11="",E11,K11))</f>
        <v/>
      </c>
      <c r="O11" s="26" t="str">
        <f aca="false">IF(A11="","",IF(K11="","Add comps for this type",IF(E11&gt;J11,"Above market: will it hold?",IF(E11&lt;I11,"Below market: upside, or a reason?","In range"))))</f>
        <v/>
      </c>
    </row>
    <row r="12" customFormat="false" ht="15" hidden="false" customHeight="false" outlineLevel="0" collapsed="false">
      <c r="A12" s="16"/>
      <c r="B12" s="16"/>
      <c r="C12" s="16"/>
      <c r="D12" s="18"/>
      <c r="E12" s="10"/>
      <c r="F12" s="16"/>
      <c r="G12" s="16"/>
      <c r="H12" s="16"/>
      <c r="I12" s="13" t="str">
        <f aca="false">IF($C12="","",IFERROR(INDEX($K$55:$K$60,MATCH($C12,$A$55:$A$60,0)),""))</f>
        <v/>
      </c>
      <c r="J12" s="13" t="str">
        <f aca="false">IF($C12="","",IFERROR(INDEX($L$55:$L$60,MATCH($C12,$A$55:$A$60,0)),""))</f>
        <v/>
      </c>
      <c r="K12" s="12" t="str">
        <f aca="false">IF(OR(I12="",J12=""),"",(I12+J12)/2)</f>
        <v/>
      </c>
      <c r="L12" s="12" t="str">
        <f aca="false">IF(OR(K12="",E12=""),"",K12-E12)</f>
        <v/>
      </c>
      <c r="M12" s="23" t="str">
        <f aca="false">IF(OR(L12="",E12=0),"",L12/E12)</f>
        <v/>
      </c>
      <c r="N12" s="12" t="str">
        <f aca="false">IF(A12="","",IF(K12="",E12,K12))</f>
        <v/>
      </c>
      <c r="O12" s="26" t="str">
        <f aca="false">IF(A12="","",IF(K12="","Add comps for this type",IF(E12&gt;J12,"Above market: will it hold?",IF(E12&lt;I12,"Below market: upside, or a reason?","In range"))))</f>
        <v/>
      </c>
    </row>
    <row r="13" customFormat="false" ht="15" hidden="false" customHeight="false" outlineLevel="0" collapsed="false">
      <c r="A13" s="16"/>
      <c r="B13" s="16"/>
      <c r="C13" s="16"/>
      <c r="D13" s="18"/>
      <c r="E13" s="10"/>
      <c r="F13" s="16"/>
      <c r="G13" s="16"/>
      <c r="H13" s="16"/>
      <c r="I13" s="13" t="str">
        <f aca="false">IF($C13="","",IFERROR(INDEX($K$55:$K$60,MATCH($C13,$A$55:$A$60,0)),""))</f>
        <v/>
      </c>
      <c r="J13" s="13" t="str">
        <f aca="false">IF($C13="","",IFERROR(INDEX($L$55:$L$60,MATCH($C13,$A$55:$A$60,0)),""))</f>
        <v/>
      </c>
      <c r="K13" s="12" t="str">
        <f aca="false">IF(OR(I13="",J13=""),"",(I13+J13)/2)</f>
        <v/>
      </c>
      <c r="L13" s="12" t="str">
        <f aca="false">IF(OR(K13="",E13=""),"",K13-E13)</f>
        <v/>
      </c>
      <c r="M13" s="23" t="str">
        <f aca="false">IF(OR(L13="",E13=0),"",L13/E13)</f>
        <v/>
      </c>
      <c r="N13" s="12" t="str">
        <f aca="false">IF(A13="","",IF(K13="",E13,K13))</f>
        <v/>
      </c>
      <c r="O13" s="26" t="str">
        <f aca="false">IF(A13="","",IF(K13="","Add comps for this type",IF(E13&gt;J13,"Above market: will it hold?",IF(E13&lt;I13,"Below market: upside, or a reason?","In range"))))</f>
        <v/>
      </c>
    </row>
    <row r="14" customFormat="false" ht="15" hidden="false" customHeight="false" outlineLevel="0" collapsed="false">
      <c r="A14" s="16"/>
      <c r="B14" s="16"/>
      <c r="C14" s="16"/>
      <c r="D14" s="18"/>
      <c r="E14" s="10"/>
      <c r="F14" s="16"/>
      <c r="G14" s="16"/>
      <c r="H14" s="16"/>
      <c r="I14" s="13" t="str">
        <f aca="false">IF($C14="","",IFERROR(INDEX($K$55:$K$60,MATCH($C14,$A$55:$A$60,0)),""))</f>
        <v/>
      </c>
      <c r="J14" s="13" t="str">
        <f aca="false">IF($C14="","",IFERROR(INDEX($L$55:$L$60,MATCH($C14,$A$55:$A$60,0)),""))</f>
        <v/>
      </c>
      <c r="K14" s="12" t="str">
        <f aca="false">IF(OR(I14="",J14=""),"",(I14+J14)/2)</f>
        <v/>
      </c>
      <c r="L14" s="12" t="str">
        <f aca="false">IF(OR(K14="",E14=""),"",K14-E14)</f>
        <v/>
      </c>
      <c r="M14" s="23" t="str">
        <f aca="false">IF(OR(L14="",E14=0),"",L14/E14)</f>
        <v/>
      </c>
      <c r="N14" s="12" t="str">
        <f aca="false">IF(A14="","",IF(K14="",E14,K14))</f>
        <v/>
      </c>
      <c r="O14" s="26" t="str">
        <f aca="false">IF(A14="","",IF(K14="","Add comps for this type",IF(E14&gt;J14,"Above market: will it hold?",IF(E14&lt;I14,"Below market: upside, or a reason?","In range"))))</f>
        <v/>
      </c>
    </row>
    <row r="15" customFormat="false" ht="15" hidden="false" customHeight="false" outlineLevel="0" collapsed="false">
      <c r="A15" s="16"/>
      <c r="B15" s="16"/>
      <c r="C15" s="16"/>
      <c r="D15" s="18"/>
      <c r="E15" s="10"/>
      <c r="F15" s="16"/>
      <c r="G15" s="16"/>
      <c r="H15" s="16"/>
      <c r="I15" s="13" t="str">
        <f aca="false">IF($C15="","",IFERROR(INDEX($K$55:$K$60,MATCH($C15,$A$55:$A$60,0)),""))</f>
        <v/>
      </c>
      <c r="J15" s="13" t="str">
        <f aca="false">IF($C15="","",IFERROR(INDEX($L$55:$L$60,MATCH($C15,$A$55:$A$60,0)),""))</f>
        <v/>
      </c>
      <c r="K15" s="12" t="str">
        <f aca="false">IF(OR(I15="",J15=""),"",(I15+J15)/2)</f>
        <v/>
      </c>
      <c r="L15" s="12" t="str">
        <f aca="false">IF(OR(K15="",E15=""),"",K15-E15)</f>
        <v/>
      </c>
      <c r="M15" s="23" t="str">
        <f aca="false">IF(OR(L15="",E15=0),"",L15/E15)</f>
        <v/>
      </c>
      <c r="N15" s="12" t="str">
        <f aca="false">IF(A15="","",IF(K15="",E15,K15))</f>
        <v/>
      </c>
      <c r="O15" s="26" t="str">
        <f aca="false">IF(A15="","",IF(K15="","Add comps for this type",IF(E15&gt;J15,"Above market: will it hold?",IF(E15&lt;I15,"Below market: upside, or a reason?","In range"))))</f>
        <v/>
      </c>
    </row>
    <row r="16" customFormat="false" ht="15" hidden="false" customHeight="false" outlineLevel="0" collapsed="false">
      <c r="A16" s="16"/>
      <c r="B16" s="16"/>
      <c r="C16" s="16"/>
      <c r="D16" s="18"/>
      <c r="E16" s="10"/>
      <c r="F16" s="16"/>
      <c r="G16" s="16"/>
      <c r="H16" s="16"/>
      <c r="I16" s="13" t="str">
        <f aca="false">IF($C16="","",IFERROR(INDEX($K$55:$K$60,MATCH($C16,$A$55:$A$60,0)),""))</f>
        <v/>
      </c>
      <c r="J16" s="13" t="str">
        <f aca="false">IF($C16="","",IFERROR(INDEX($L$55:$L$60,MATCH($C16,$A$55:$A$60,0)),""))</f>
        <v/>
      </c>
      <c r="K16" s="12" t="str">
        <f aca="false">IF(OR(I16="",J16=""),"",(I16+J16)/2)</f>
        <v/>
      </c>
      <c r="L16" s="12" t="str">
        <f aca="false">IF(OR(K16="",E16=""),"",K16-E16)</f>
        <v/>
      </c>
      <c r="M16" s="23" t="str">
        <f aca="false">IF(OR(L16="",E16=0),"",L16/E16)</f>
        <v/>
      </c>
      <c r="N16" s="12" t="str">
        <f aca="false">IF(A16="","",IF(K16="",E16,K16))</f>
        <v/>
      </c>
      <c r="O16" s="26" t="str">
        <f aca="false">IF(A16="","",IF(K16="","Add comps for this type",IF(E16&gt;J16,"Above market: will it hold?",IF(E16&lt;I16,"Below market: upside, or a reason?","In range"))))</f>
        <v/>
      </c>
    </row>
    <row r="17" customFormat="false" ht="15" hidden="false" customHeight="false" outlineLevel="0" collapsed="false">
      <c r="A17" s="16"/>
      <c r="B17" s="16"/>
      <c r="C17" s="16"/>
      <c r="D17" s="18"/>
      <c r="E17" s="10"/>
      <c r="F17" s="16"/>
      <c r="G17" s="16"/>
      <c r="H17" s="16"/>
      <c r="I17" s="13" t="str">
        <f aca="false">IF($C17="","",IFERROR(INDEX($K$55:$K$60,MATCH($C17,$A$55:$A$60,0)),""))</f>
        <v/>
      </c>
      <c r="J17" s="13" t="str">
        <f aca="false">IF($C17="","",IFERROR(INDEX($L$55:$L$60,MATCH($C17,$A$55:$A$60,0)),""))</f>
        <v/>
      </c>
      <c r="K17" s="12" t="str">
        <f aca="false">IF(OR(I17="",J17=""),"",(I17+J17)/2)</f>
        <v/>
      </c>
      <c r="L17" s="12" t="str">
        <f aca="false">IF(OR(K17="",E17=""),"",K17-E17)</f>
        <v/>
      </c>
      <c r="M17" s="23" t="str">
        <f aca="false">IF(OR(L17="",E17=0),"",L17/E17)</f>
        <v/>
      </c>
      <c r="N17" s="12" t="str">
        <f aca="false">IF(A17="","",IF(K17="",E17,K17))</f>
        <v/>
      </c>
      <c r="O17" s="26" t="str">
        <f aca="false">IF(A17="","",IF(K17="","Add comps for this type",IF(E17&gt;J17,"Above market: will it hold?",IF(E17&lt;I17,"Below market: upside, or a reason?","In range"))))</f>
        <v/>
      </c>
    </row>
    <row r="18" customFormat="false" ht="15" hidden="false" customHeight="false" outlineLevel="0" collapsed="false">
      <c r="A18" s="16"/>
      <c r="B18" s="16"/>
      <c r="C18" s="16"/>
      <c r="D18" s="18"/>
      <c r="E18" s="10"/>
      <c r="F18" s="16"/>
      <c r="G18" s="16"/>
      <c r="H18" s="16"/>
      <c r="I18" s="13" t="str">
        <f aca="false">IF($C18="","",IFERROR(INDEX($K$55:$K$60,MATCH($C18,$A$55:$A$60,0)),""))</f>
        <v/>
      </c>
      <c r="J18" s="13" t="str">
        <f aca="false">IF($C18="","",IFERROR(INDEX($L$55:$L$60,MATCH($C18,$A$55:$A$60,0)),""))</f>
        <v/>
      </c>
      <c r="K18" s="12" t="str">
        <f aca="false">IF(OR(I18="",J18=""),"",(I18+J18)/2)</f>
        <v/>
      </c>
      <c r="L18" s="12" t="str">
        <f aca="false">IF(OR(K18="",E18=""),"",K18-E18)</f>
        <v/>
      </c>
      <c r="M18" s="23" t="str">
        <f aca="false">IF(OR(L18="",E18=0),"",L18/E18)</f>
        <v/>
      </c>
      <c r="N18" s="12" t="str">
        <f aca="false">IF(A18="","",IF(K18="",E18,K18))</f>
        <v/>
      </c>
      <c r="O18" s="26" t="str">
        <f aca="false">IF(A18="","",IF(K18="","Add comps for this type",IF(E18&gt;J18,"Above market: will it hold?",IF(E18&lt;I18,"Below market: upside, or a reason?","In range"))))</f>
        <v/>
      </c>
    </row>
    <row r="19" customFormat="false" ht="15" hidden="false" customHeight="false" outlineLevel="0" collapsed="false">
      <c r="A19" s="16"/>
      <c r="B19" s="16"/>
      <c r="C19" s="16"/>
      <c r="D19" s="18"/>
      <c r="E19" s="10"/>
      <c r="F19" s="16"/>
      <c r="G19" s="16"/>
      <c r="H19" s="16"/>
      <c r="I19" s="13" t="str">
        <f aca="false">IF($C19="","",IFERROR(INDEX($K$55:$K$60,MATCH($C19,$A$55:$A$60,0)),""))</f>
        <v/>
      </c>
      <c r="J19" s="13" t="str">
        <f aca="false">IF($C19="","",IFERROR(INDEX($L$55:$L$60,MATCH($C19,$A$55:$A$60,0)),""))</f>
        <v/>
      </c>
      <c r="K19" s="12" t="str">
        <f aca="false">IF(OR(I19="",J19=""),"",(I19+J19)/2)</f>
        <v/>
      </c>
      <c r="L19" s="12" t="str">
        <f aca="false">IF(OR(K19="",E19=""),"",K19-E19)</f>
        <v/>
      </c>
      <c r="M19" s="23" t="str">
        <f aca="false">IF(OR(L19="",E19=0),"",L19/E19)</f>
        <v/>
      </c>
      <c r="N19" s="12" t="str">
        <f aca="false">IF(A19="","",IF(K19="",E19,K19))</f>
        <v/>
      </c>
      <c r="O19" s="26" t="str">
        <f aca="false">IF(A19="","",IF(K19="","Add comps for this type",IF(E19&gt;J19,"Above market: will it hold?",IF(E19&lt;I19,"Below market: upside, or a reason?","In range"))))</f>
        <v/>
      </c>
    </row>
    <row r="20" customFormat="false" ht="15" hidden="false" customHeight="false" outlineLevel="0" collapsed="false">
      <c r="A20" s="16"/>
      <c r="B20" s="16"/>
      <c r="C20" s="16"/>
      <c r="D20" s="18"/>
      <c r="E20" s="10"/>
      <c r="F20" s="16"/>
      <c r="G20" s="16"/>
      <c r="H20" s="16"/>
      <c r="I20" s="13" t="str">
        <f aca="false">IF($C20="","",IFERROR(INDEX($K$55:$K$60,MATCH($C20,$A$55:$A$60,0)),""))</f>
        <v/>
      </c>
      <c r="J20" s="13" t="str">
        <f aca="false">IF($C20="","",IFERROR(INDEX($L$55:$L$60,MATCH($C20,$A$55:$A$60,0)),""))</f>
        <v/>
      </c>
      <c r="K20" s="12" t="str">
        <f aca="false">IF(OR(I20="",J20=""),"",(I20+J20)/2)</f>
        <v/>
      </c>
      <c r="L20" s="12" t="str">
        <f aca="false">IF(OR(K20="",E20=""),"",K20-E20)</f>
        <v/>
      </c>
      <c r="M20" s="23" t="str">
        <f aca="false">IF(OR(L20="",E20=0),"",L20/E20)</f>
        <v/>
      </c>
      <c r="N20" s="12" t="str">
        <f aca="false">IF(A20="","",IF(K20="",E20,K20))</f>
        <v/>
      </c>
      <c r="O20" s="26" t="str">
        <f aca="false">IF(A20="","",IF(K20="","Add comps for this type",IF(E20&gt;J20,"Above market: will it hold?",IF(E20&lt;I20,"Below market: upside, or a reason?","In range"))))</f>
        <v/>
      </c>
    </row>
    <row r="21" customFormat="false" ht="15" hidden="false" customHeight="false" outlineLevel="0" collapsed="false">
      <c r="A21" s="16"/>
      <c r="B21" s="16"/>
      <c r="C21" s="16"/>
      <c r="D21" s="18"/>
      <c r="E21" s="10"/>
      <c r="F21" s="16"/>
      <c r="G21" s="16"/>
      <c r="H21" s="16"/>
      <c r="I21" s="13" t="str">
        <f aca="false">IF($C21="","",IFERROR(INDEX($K$55:$K$60,MATCH($C21,$A$55:$A$60,0)),""))</f>
        <v/>
      </c>
      <c r="J21" s="13" t="str">
        <f aca="false">IF($C21="","",IFERROR(INDEX($L$55:$L$60,MATCH($C21,$A$55:$A$60,0)),""))</f>
        <v/>
      </c>
      <c r="K21" s="12" t="str">
        <f aca="false">IF(OR(I21="",J21=""),"",(I21+J21)/2)</f>
        <v/>
      </c>
      <c r="L21" s="12" t="str">
        <f aca="false">IF(OR(K21="",E21=""),"",K21-E21)</f>
        <v/>
      </c>
      <c r="M21" s="23" t="str">
        <f aca="false">IF(OR(L21="",E21=0),"",L21/E21)</f>
        <v/>
      </c>
      <c r="N21" s="12" t="str">
        <f aca="false">IF(A21="","",IF(K21="",E21,K21))</f>
        <v/>
      </c>
      <c r="O21" s="26" t="str">
        <f aca="false">IF(A21="","",IF(K21="","Add comps for this type",IF(E21&gt;J21,"Above market: will it hold?",IF(E21&lt;I21,"Below market: upside, or a reason?","In range"))))</f>
        <v/>
      </c>
    </row>
    <row r="22" customFormat="false" ht="15" hidden="false" customHeight="false" outlineLevel="0" collapsed="false">
      <c r="A22" s="16"/>
      <c r="B22" s="16"/>
      <c r="C22" s="16"/>
      <c r="D22" s="18"/>
      <c r="E22" s="10"/>
      <c r="F22" s="16"/>
      <c r="G22" s="16"/>
      <c r="H22" s="16"/>
      <c r="I22" s="13" t="str">
        <f aca="false">IF($C22="","",IFERROR(INDEX($K$55:$K$60,MATCH($C22,$A$55:$A$60,0)),""))</f>
        <v/>
      </c>
      <c r="J22" s="13" t="str">
        <f aca="false">IF($C22="","",IFERROR(INDEX($L$55:$L$60,MATCH($C22,$A$55:$A$60,0)),""))</f>
        <v/>
      </c>
      <c r="K22" s="12" t="str">
        <f aca="false">IF(OR(I22="",J22=""),"",(I22+J22)/2)</f>
        <v/>
      </c>
      <c r="L22" s="12" t="str">
        <f aca="false">IF(OR(K22="",E22=""),"",K22-E22)</f>
        <v/>
      </c>
      <c r="M22" s="23" t="str">
        <f aca="false">IF(OR(L22="",E22=0),"",L22/E22)</f>
        <v/>
      </c>
      <c r="N22" s="12" t="str">
        <f aca="false">IF(A22="","",IF(K22="",E22,K22))</f>
        <v/>
      </c>
      <c r="O22" s="26" t="str">
        <f aca="false">IF(A22="","",IF(K22="","Add comps for this type",IF(E22&gt;J22,"Above market: will it hold?",IF(E22&lt;I22,"Below market: upside, or a reason?","In range"))))</f>
        <v/>
      </c>
    </row>
    <row r="23" customFormat="false" ht="15" hidden="false" customHeight="false" outlineLevel="0" collapsed="false">
      <c r="A23" s="16"/>
      <c r="B23" s="16"/>
      <c r="C23" s="16"/>
      <c r="D23" s="18"/>
      <c r="E23" s="10"/>
      <c r="F23" s="16"/>
      <c r="G23" s="16"/>
      <c r="H23" s="16"/>
      <c r="I23" s="13" t="str">
        <f aca="false">IF($C23="","",IFERROR(INDEX($K$55:$K$60,MATCH($C23,$A$55:$A$60,0)),""))</f>
        <v/>
      </c>
      <c r="J23" s="13" t="str">
        <f aca="false">IF($C23="","",IFERROR(INDEX($L$55:$L$60,MATCH($C23,$A$55:$A$60,0)),""))</f>
        <v/>
      </c>
      <c r="K23" s="12" t="str">
        <f aca="false">IF(OR(I23="",J23=""),"",(I23+J23)/2)</f>
        <v/>
      </c>
      <c r="L23" s="12" t="str">
        <f aca="false">IF(OR(K23="",E23=""),"",K23-E23)</f>
        <v/>
      </c>
      <c r="M23" s="23" t="str">
        <f aca="false">IF(OR(L23="",E23=0),"",L23/E23)</f>
        <v/>
      </c>
      <c r="N23" s="12" t="str">
        <f aca="false">IF(A23="","",IF(K23="",E23,K23))</f>
        <v/>
      </c>
      <c r="O23" s="26" t="str">
        <f aca="false">IF(A23="","",IF(K23="","Add comps for this type",IF(E23&gt;J23,"Above market: will it hold?",IF(E23&lt;I23,"Below market: upside, or a reason?","In range"))))</f>
        <v/>
      </c>
    </row>
    <row r="24" customFormat="false" ht="15" hidden="false" customHeight="false" outlineLevel="0" collapsed="false">
      <c r="A24" s="16"/>
      <c r="B24" s="16"/>
      <c r="C24" s="16"/>
      <c r="D24" s="18"/>
      <c r="E24" s="10"/>
      <c r="F24" s="16"/>
      <c r="G24" s="16"/>
      <c r="H24" s="16"/>
      <c r="I24" s="13" t="str">
        <f aca="false">IF($C24="","",IFERROR(INDEX($K$55:$K$60,MATCH($C24,$A$55:$A$60,0)),""))</f>
        <v/>
      </c>
      <c r="J24" s="13" t="str">
        <f aca="false">IF($C24="","",IFERROR(INDEX($L$55:$L$60,MATCH($C24,$A$55:$A$60,0)),""))</f>
        <v/>
      </c>
      <c r="K24" s="12" t="str">
        <f aca="false">IF(OR(I24="",J24=""),"",(I24+J24)/2)</f>
        <v/>
      </c>
      <c r="L24" s="12" t="str">
        <f aca="false">IF(OR(K24="",E24=""),"",K24-E24)</f>
        <v/>
      </c>
      <c r="M24" s="23" t="str">
        <f aca="false">IF(OR(L24="",E24=0),"",L24/E24)</f>
        <v/>
      </c>
      <c r="N24" s="12" t="str">
        <f aca="false">IF(A24="","",IF(K24="",E24,K24))</f>
        <v/>
      </c>
      <c r="O24" s="26" t="str">
        <f aca="false">IF(A24="","",IF(K24="","Add comps for this type",IF(E24&gt;J24,"Above market: will it hold?",IF(E24&lt;I24,"Below market: upside, or a reason?","In range"))))</f>
        <v/>
      </c>
    </row>
    <row r="25" customFormat="false" ht="15" hidden="false" customHeight="false" outlineLevel="0" collapsed="false">
      <c r="A25" s="16"/>
      <c r="B25" s="16"/>
      <c r="C25" s="16"/>
      <c r="D25" s="18"/>
      <c r="E25" s="10"/>
      <c r="F25" s="16"/>
      <c r="G25" s="16"/>
      <c r="H25" s="16"/>
      <c r="I25" s="13" t="str">
        <f aca="false">IF($C25="","",IFERROR(INDEX($K$55:$K$60,MATCH($C25,$A$55:$A$60,0)),""))</f>
        <v/>
      </c>
      <c r="J25" s="13" t="str">
        <f aca="false">IF($C25="","",IFERROR(INDEX($L$55:$L$60,MATCH($C25,$A$55:$A$60,0)),""))</f>
        <v/>
      </c>
      <c r="K25" s="12" t="str">
        <f aca="false">IF(OR(I25="",J25=""),"",(I25+J25)/2)</f>
        <v/>
      </c>
      <c r="L25" s="12" t="str">
        <f aca="false">IF(OR(K25="",E25=""),"",K25-E25)</f>
        <v/>
      </c>
      <c r="M25" s="23" t="str">
        <f aca="false">IF(OR(L25="",E25=0),"",L25/E25)</f>
        <v/>
      </c>
      <c r="N25" s="12" t="str">
        <f aca="false">IF(A25="","",IF(K25="",E25,K25))</f>
        <v/>
      </c>
      <c r="O25" s="26" t="str">
        <f aca="false">IF(A25="","",IF(K25="","Add comps for this type",IF(E25&gt;J25,"Above market: will it hold?",IF(E25&lt;I25,"Below market: upside, or a reason?","In range"))))</f>
        <v/>
      </c>
    </row>
    <row r="26" customFormat="false" ht="15" hidden="false" customHeight="false" outlineLevel="0" collapsed="false">
      <c r="A26" s="20" t="s">
        <v>148</v>
      </c>
      <c r="D26" s="30" t="n">
        <f aca="false">COUNTA(A6:A25)</f>
        <v>0</v>
      </c>
      <c r="E26" s="31" t="n">
        <f aca="false">SUM(E6:E25)</f>
        <v>0</v>
      </c>
      <c r="K26" s="31" t="n">
        <f aca="false">SUM(K6:K25)</f>
        <v>0</v>
      </c>
      <c r="L26" s="31" t="n">
        <f aca="false">GPR_Stab_Mo-GPR_Cur_Mo</f>
        <v>0</v>
      </c>
      <c r="M26" s="32" t="n">
        <f aca="false">IFERROR(RentGap_Mo/GPR_Cur_Mo,0)</f>
        <v>0</v>
      </c>
      <c r="N26" s="31" t="n">
        <f aca="false">SUM(N6:N25)</f>
        <v>0</v>
      </c>
    </row>
    <row r="27" customFormat="false" ht="15" hidden="false" customHeight="false" outlineLevel="0" collapsed="false">
      <c r="A27" s="3" t="s">
        <v>149</v>
      </c>
      <c r="C27" s="26" t="str">
        <f aca="false">IF(AND(RR_Units=0,N(Units)=0),"",IF(RR_Units=Units,"Matches tab 1","Rent roll has "&amp;RR_Units&amp;" units; tab 1 says "&amp;Units))</f>
        <v/>
      </c>
      <c r="E27" s="17" t="s">
        <v>150</v>
      </c>
    </row>
    <row r="29" customFormat="false" ht="37.5" hidden="false" customHeight="true" outlineLevel="0" collapsed="false">
      <c r="A29" s="28" t="s">
        <v>151</v>
      </c>
      <c r="B29" s="28"/>
      <c r="C29" s="28"/>
      <c r="D29" s="28"/>
      <c r="E29" s="28"/>
      <c r="F29" s="28"/>
      <c r="G29" s="28"/>
      <c r="H29" s="28"/>
      <c r="I29" s="28"/>
      <c r="J29" s="28"/>
      <c r="K29" s="28"/>
      <c r="L29" s="28"/>
      <c r="M29" s="28"/>
      <c r="N29" s="28"/>
      <c r="O29" s="28"/>
    </row>
    <row r="30" customFormat="false" ht="37.5" hidden="false" customHeight="true" outlineLevel="0" collapsed="false">
      <c r="A30" s="29" t="s">
        <v>152</v>
      </c>
      <c r="B30" s="29"/>
      <c r="C30" s="29"/>
      <c r="D30" s="29"/>
      <c r="E30" s="29"/>
      <c r="F30" s="29"/>
      <c r="G30" s="29"/>
      <c r="H30" s="29"/>
      <c r="I30" s="29"/>
      <c r="J30" s="29"/>
      <c r="K30" s="29"/>
      <c r="L30" s="29"/>
      <c r="M30" s="29"/>
      <c r="N30" s="29"/>
      <c r="O30" s="29"/>
    </row>
    <row r="31" customFormat="false" ht="18" hidden="false" customHeight="true" outlineLevel="0" collapsed="false">
      <c r="A31" s="4" t="s">
        <v>153</v>
      </c>
      <c r="B31" s="5"/>
      <c r="C31" s="5"/>
      <c r="D31" s="5"/>
      <c r="E31" s="5"/>
      <c r="F31" s="5"/>
      <c r="G31" s="5"/>
      <c r="H31" s="5"/>
      <c r="I31" s="5"/>
      <c r="J31" s="5"/>
      <c r="K31" s="5"/>
      <c r="L31" s="5"/>
      <c r="M31" s="5"/>
      <c r="N31" s="5"/>
      <c r="O31" s="5"/>
    </row>
    <row r="32" customFormat="false" ht="27.75" hidden="false" customHeight="true" outlineLevel="0" collapsed="false">
      <c r="A32" s="7" t="s">
        <v>136</v>
      </c>
      <c r="B32" s="7" t="s">
        <v>61</v>
      </c>
      <c r="C32" s="7"/>
      <c r="D32" s="7" t="s">
        <v>135</v>
      </c>
      <c r="E32" s="7" t="s">
        <v>154</v>
      </c>
      <c r="F32" s="7" t="s">
        <v>155</v>
      </c>
      <c r="G32" s="7" t="s">
        <v>156</v>
      </c>
      <c r="H32" s="7" t="s">
        <v>157</v>
      </c>
      <c r="I32" s="7" t="s">
        <v>158</v>
      </c>
      <c r="J32" s="7" t="s">
        <v>159</v>
      </c>
      <c r="K32" s="7" t="s">
        <v>160</v>
      </c>
      <c r="L32" s="7" t="s">
        <v>161</v>
      </c>
      <c r="M32" s="7"/>
      <c r="N32" s="7"/>
      <c r="O32" s="7" t="s">
        <v>162</v>
      </c>
    </row>
    <row r="33" customFormat="false" ht="15" hidden="false" customHeight="false" outlineLevel="0" collapsed="false">
      <c r="A33" s="16"/>
      <c r="B33" s="16"/>
      <c r="C33" s="16"/>
      <c r="D33" s="16"/>
      <c r="E33" s="10"/>
      <c r="F33" s="16"/>
      <c r="G33" s="16"/>
      <c r="H33" s="33"/>
      <c r="I33" s="16"/>
      <c r="J33" s="16"/>
      <c r="K33" s="10"/>
      <c r="L33" s="12" t="str">
        <f aca="false">IF(E33="","",E33+N(K33))</f>
        <v/>
      </c>
      <c r="O33" s="16"/>
    </row>
    <row r="34" customFormat="false" ht="15" hidden="false" customHeight="false" outlineLevel="0" collapsed="false">
      <c r="A34" s="16"/>
      <c r="B34" s="16"/>
      <c r="C34" s="16"/>
      <c r="D34" s="16"/>
      <c r="E34" s="10"/>
      <c r="F34" s="16"/>
      <c r="G34" s="16"/>
      <c r="H34" s="33"/>
      <c r="I34" s="16"/>
      <c r="J34" s="16"/>
      <c r="K34" s="10"/>
      <c r="L34" s="12" t="str">
        <f aca="false">IF(E34="","",E34+N(K34))</f>
        <v/>
      </c>
      <c r="O34" s="16"/>
    </row>
    <row r="35" customFormat="false" ht="15" hidden="false" customHeight="false" outlineLevel="0" collapsed="false">
      <c r="A35" s="16"/>
      <c r="B35" s="16"/>
      <c r="C35" s="16"/>
      <c r="D35" s="16"/>
      <c r="E35" s="10"/>
      <c r="F35" s="16"/>
      <c r="G35" s="16"/>
      <c r="H35" s="33"/>
      <c r="I35" s="16"/>
      <c r="J35" s="16"/>
      <c r="K35" s="10"/>
      <c r="L35" s="12" t="str">
        <f aca="false">IF(E35="","",E35+N(K35))</f>
        <v/>
      </c>
      <c r="O35" s="16"/>
    </row>
    <row r="36" customFormat="false" ht="15" hidden="false" customHeight="false" outlineLevel="0" collapsed="false">
      <c r="A36" s="16"/>
      <c r="B36" s="16"/>
      <c r="C36" s="16"/>
      <c r="D36" s="16"/>
      <c r="E36" s="10"/>
      <c r="F36" s="16"/>
      <c r="G36" s="16"/>
      <c r="H36" s="33"/>
      <c r="I36" s="16"/>
      <c r="J36" s="16"/>
      <c r="K36" s="10"/>
      <c r="L36" s="12" t="str">
        <f aca="false">IF(E36="","",E36+N(K36))</f>
        <v/>
      </c>
      <c r="O36" s="16"/>
    </row>
    <row r="37" customFormat="false" ht="15" hidden="false" customHeight="false" outlineLevel="0" collapsed="false">
      <c r="A37" s="16"/>
      <c r="B37" s="16"/>
      <c r="C37" s="16"/>
      <c r="D37" s="16"/>
      <c r="E37" s="10"/>
      <c r="F37" s="16"/>
      <c r="G37" s="16"/>
      <c r="H37" s="33"/>
      <c r="I37" s="16"/>
      <c r="J37" s="16"/>
      <c r="K37" s="10"/>
      <c r="L37" s="12" t="str">
        <f aca="false">IF(E37="","",E37+N(K37))</f>
        <v/>
      </c>
      <c r="O37" s="16"/>
    </row>
    <row r="38" customFormat="false" ht="15" hidden="false" customHeight="false" outlineLevel="0" collapsed="false">
      <c r="A38" s="16"/>
      <c r="B38" s="16"/>
      <c r="C38" s="16"/>
      <c r="D38" s="16"/>
      <c r="E38" s="10"/>
      <c r="F38" s="16"/>
      <c r="G38" s="16"/>
      <c r="H38" s="33"/>
      <c r="I38" s="16"/>
      <c r="J38" s="16"/>
      <c r="K38" s="10"/>
      <c r="L38" s="12" t="str">
        <f aca="false">IF(E38="","",E38+N(K38))</f>
        <v/>
      </c>
      <c r="O38" s="16"/>
    </row>
    <row r="39" customFormat="false" ht="15" hidden="false" customHeight="false" outlineLevel="0" collapsed="false">
      <c r="A39" s="16"/>
      <c r="B39" s="16"/>
      <c r="C39" s="16"/>
      <c r="D39" s="16"/>
      <c r="E39" s="10"/>
      <c r="F39" s="16"/>
      <c r="G39" s="16"/>
      <c r="H39" s="33"/>
      <c r="I39" s="16"/>
      <c r="J39" s="16"/>
      <c r="K39" s="10"/>
      <c r="L39" s="12" t="str">
        <f aca="false">IF(E39="","",E39+N(K39))</f>
        <v/>
      </c>
      <c r="O39" s="16"/>
    </row>
    <row r="40" customFormat="false" ht="15" hidden="false" customHeight="false" outlineLevel="0" collapsed="false">
      <c r="A40" s="16"/>
      <c r="B40" s="16"/>
      <c r="C40" s="16"/>
      <c r="D40" s="16"/>
      <c r="E40" s="10"/>
      <c r="F40" s="16"/>
      <c r="G40" s="16"/>
      <c r="H40" s="33"/>
      <c r="I40" s="16"/>
      <c r="J40" s="16"/>
      <c r="K40" s="10"/>
      <c r="L40" s="12" t="str">
        <f aca="false">IF(E40="","",E40+N(K40))</f>
        <v/>
      </c>
      <c r="O40" s="16"/>
    </row>
    <row r="41" customFormat="false" ht="15" hidden="false" customHeight="false" outlineLevel="0" collapsed="false">
      <c r="A41" s="16"/>
      <c r="B41" s="16"/>
      <c r="C41" s="16"/>
      <c r="D41" s="16"/>
      <c r="E41" s="10"/>
      <c r="F41" s="16"/>
      <c r="G41" s="16"/>
      <c r="H41" s="33"/>
      <c r="I41" s="16"/>
      <c r="J41" s="16"/>
      <c r="K41" s="10"/>
      <c r="L41" s="12" t="str">
        <f aca="false">IF(E41="","",E41+N(K41))</f>
        <v/>
      </c>
      <c r="O41" s="16"/>
    </row>
    <row r="42" customFormat="false" ht="15" hidden="false" customHeight="false" outlineLevel="0" collapsed="false">
      <c r="A42" s="16"/>
      <c r="B42" s="16"/>
      <c r="C42" s="16"/>
      <c r="D42" s="16"/>
      <c r="E42" s="10"/>
      <c r="F42" s="16"/>
      <c r="G42" s="16"/>
      <c r="H42" s="33"/>
      <c r="I42" s="16"/>
      <c r="J42" s="16"/>
      <c r="K42" s="10"/>
      <c r="L42" s="12" t="str">
        <f aca="false">IF(E42="","",E42+N(K42))</f>
        <v/>
      </c>
      <c r="O42" s="16"/>
    </row>
    <row r="43" customFormat="false" ht="15" hidden="false" customHeight="false" outlineLevel="0" collapsed="false">
      <c r="A43" s="16"/>
      <c r="B43" s="16"/>
      <c r="C43" s="16"/>
      <c r="D43" s="16"/>
      <c r="E43" s="10"/>
      <c r="F43" s="16"/>
      <c r="G43" s="16"/>
      <c r="H43" s="33"/>
      <c r="I43" s="16"/>
      <c r="J43" s="16"/>
      <c r="K43" s="10"/>
      <c r="L43" s="12" t="str">
        <f aca="false">IF(E43="","",E43+N(K43))</f>
        <v/>
      </c>
      <c r="O43" s="16"/>
    </row>
    <row r="44" customFormat="false" ht="15" hidden="false" customHeight="false" outlineLevel="0" collapsed="false">
      <c r="A44" s="16"/>
      <c r="B44" s="16"/>
      <c r="C44" s="16"/>
      <c r="D44" s="16"/>
      <c r="E44" s="10"/>
      <c r="F44" s="16"/>
      <c r="G44" s="16"/>
      <c r="H44" s="33"/>
      <c r="I44" s="16"/>
      <c r="J44" s="16"/>
      <c r="K44" s="10"/>
      <c r="L44" s="12" t="str">
        <f aca="false">IF(E44="","",E44+N(K44))</f>
        <v/>
      </c>
      <c r="O44" s="16"/>
    </row>
    <row r="45" customFormat="false" ht="15" hidden="false" customHeight="false" outlineLevel="0" collapsed="false">
      <c r="A45" s="16"/>
      <c r="B45" s="16"/>
      <c r="C45" s="16"/>
      <c r="D45" s="16"/>
      <c r="E45" s="10"/>
      <c r="F45" s="16"/>
      <c r="G45" s="16"/>
      <c r="H45" s="33"/>
      <c r="I45" s="16"/>
      <c r="J45" s="16"/>
      <c r="K45" s="10"/>
      <c r="L45" s="12" t="str">
        <f aca="false">IF(E45="","",E45+N(K45))</f>
        <v/>
      </c>
      <c r="O45" s="16"/>
    </row>
    <row r="46" customFormat="false" ht="15" hidden="false" customHeight="false" outlineLevel="0" collapsed="false">
      <c r="A46" s="16"/>
      <c r="B46" s="16"/>
      <c r="C46" s="16"/>
      <c r="D46" s="16"/>
      <c r="E46" s="10"/>
      <c r="F46" s="16"/>
      <c r="G46" s="16"/>
      <c r="H46" s="33"/>
      <c r="I46" s="16"/>
      <c r="J46" s="16"/>
      <c r="K46" s="10"/>
      <c r="L46" s="12" t="str">
        <f aca="false">IF(E46="","",E46+N(K46))</f>
        <v/>
      </c>
      <c r="O46" s="16"/>
    </row>
    <row r="47" customFormat="false" ht="15" hidden="false" customHeight="false" outlineLevel="0" collapsed="false">
      <c r="A47" s="16"/>
      <c r="B47" s="16"/>
      <c r="C47" s="16"/>
      <c r="D47" s="16"/>
      <c r="E47" s="10"/>
      <c r="F47" s="16"/>
      <c r="G47" s="16"/>
      <c r="H47" s="33"/>
      <c r="I47" s="16"/>
      <c r="J47" s="16"/>
      <c r="K47" s="10"/>
      <c r="L47" s="12" t="str">
        <f aca="false">IF(E47="","",E47+N(K47))</f>
        <v/>
      </c>
      <c r="O47" s="16"/>
    </row>
    <row r="48" customFormat="false" ht="15" hidden="false" customHeight="false" outlineLevel="0" collapsed="false">
      <c r="A48" s="16"/>
      <c r="B48" s="16"/>
      <c r="C48" s="16"/>
      <c r="D48" s="16"/>
      <c r="E48" s="10"/>
      <c r="F48" s="16"/>
      <c r="G48" s="16"/>
      <c r="H48" s="33"/>
      <c r="I48" s="16"/>
      <c r="J48" s="16"/>
      <c r="K48" s="10"/>
      <c r="L48" s="12" t="str">
        <f aca="false">IF(E48="","",E48+N(K48))</f>
        <v/>
      </c>
      <c r="O48" s="16"/>
    </row>
    <row r="49" customFormat="false" ht="15" hidden="false" customHeight="false" outlineLevel="0" collapsed="false">
      <c r="A49" s="16"/>
      <c r="B49" s="16"/>
      <c r="C49" s="16"/>
      <c r="D49" s="16"/>
      <c r="E49" s="10"/>
      <c r="F49" s="16"/>
      <c r="G49" s="16"/>
      <c r="H49" s="33"/>
      <c r="I49" s="16"/>
      <c r="J49" s="16"/>
      <c r="K49" s="10"/>
      <c r="L49" s="12" t="str">
        <f aca="false">IF(E49="","",E49+N(K49))</f>
        <v/>
      </c>
      <c r="O49" s="16"/>
    </row>
    <row r="50" customFormat="false" ht="15" hidden="false" customHeight="false" outlineLevel="0" collapsed="false">
      <c r="A50" s="16"/>
      <c r="B50" s="16"/>
      <c r="C50" s="16"/>
      <c r="D50" s="16"/>
      <c r="E50" s="10"/>
      <c r="F50" s="16"/>
      <c r="G50" s="16"/>
      <c r="H50" s="33"/>
      <c r="I50" s="16"/>
      <c r="J50" s="16"/>
      <c r="K50" s="10"/>
      <c r="L50" s="12" t="str">
        <f aca="false">IF(E50="","",E50+N(K50))</f>
        <v/>
      </c>
      <c r="O50" s="16"/>
    </row>
    <row r="51" customFormat="false" ht="15" hidden="false" customHeight="false" outlineLevel="0" collapsed="false">
      <c r="A51" s="17" t="s">
        <v>163</v>
      </c>
    </row>
    <row r="53" customFormat="false" ht="18" hidden="false" customHeight="true" outlineLevel="0" collapsed="false">
      <c r="A53" s="4" t="s">
        <v>164</v>
      </c>
      <c r="B53" s="5"/>
      <c r="C53" s="5"/>
      <c r="D53" s="5"/>
      <c r="E53" s="5"/>
      <c r="F53" s="5"/>
      <c r="G53" s="5"/>
      <c r="H53" s="5"/>
      <c r="I53" s="5"/>
      <c r="J53" s="5"/>
      <c r="K53" s="5"/>
      <c r="L53" s="5"/>
      <c r="M53" s="5"/>
      <c r="N53" s="5"/>
      <c r="O53" s="5"/>
    </row>
    <row r="54" customFormat="false" ht="27.75" hidden="false" customHeight="true" outlineLevel="0" collapsed="false">
      <c r="A54" s="7" t="s">
        <v>136</v>
      </c>
      <c r="B54" s="7"/>
      <c r="C54" s="7"/>
      <c r="D54" s="7" t="s">
        <v>165</v>
      </c>
      <c r="E54" s="7" t="s">
        <v>166</v>
      </c>
      <c r="F54" s="7" t="s">
        <v>167</v>
      </c>
      <c r="G54" s="7" t="s">
        <v>168</v>
      </c>
      <c r="H54" s="7"/>
      <c r="I54" s="7"/>
      <c r="J54" s="7"/>
      <c r="K54" s="7" t="s">
        <v>169</v>
      </c>
      <c r="L54" s="7" t="s">
        <v>170</v>
      </c>
    </row>
    <row r="55" customFormat="false" ht="15" hidden="false" customHeight="false" outlineLevel="0" collapsed="false">
      <c r="A55" s="16"/>
      <c r="D55" s="34" t="str">
        <f aca="false">IF(A55="","",COUNTIFS($A$33:$A$50,A55,$L$33:$L$50,"&lt;&gt;"))</f>
        <v/>
      </c>
      <c r="E55" s="12" t="str">
        <f aca="false">IF(OR(A55="",N(D55)=0),"",_xlfn.MINIFS($L$33:$L$50,$A$33:$A$50,A55))</f>
        <v/>
      </c>
      <c r="F55" s="12" t="str">
        <f aca="false">IF(OR(A55="",N(D55)=0),"",AVERAGEIFS($L$33:$L$50,$A$33:$A$50,A55))</f>
        <v/>
      </c>
      <c r="G55" s="12" t="str">
        <f aca="false">IF(OR(A55="",N(D55)=0),"",_xlfn.MAXIFS($L$33:$L$50,$A$33:$A$50,A55))</f>
        <v/>
      </c>
      <c r="K55" s="12" t="str">
        <f aca="false">IF(F55="","",ROUND((E55+F55)/2,-1))</f>
        <v/>
      </c>
      <c r="L55" s="12" t="str">
        <f aca="false">IF(F55="","",ROUND((F55+G55)/2,-1))</f>
        <v/>
      </c>
    </row>
    <row r="56" customFormat="false" ht="15" hidden="false" customHeight="false" outlineLevel="0" collapsed="false">
      <c r="A56" s="16"/>
      <c r="D56" s="34" t="str">
        <f aca="false">IF(A56="","",COUNTIFS($A$33:$A$50,A56,$L$33:$L$50,"&lt;&gt;"))</f>
        <v/>
      </c>
      <c r="E56" s="12" t="str">
        <f aca="false">IF(OR(A56="",N(D56)=0),"",_xlfn.MINIFS($L$33:$L$50,$A$33:$A$50,A56))</f>
        <v/>
      </c>
      <c r="F56" s="12" t="str">
        <f aca="false">IF(OR(A56="",N(D56)=0),"",AVERAGEIFS($L$33:$L$50,$A$33:$A$50,A56))</f>
        <v/>
      </c>
      <c r="G56" s="12" t="str">
        <f aca="false">IF(OR(A56="",N(D56)=0),"",_xlfn.MAXIFS($L$33:$L$50,$A$33:$A$50,A56))</f>
        <v/>
      </c>
      <c r="K56" s="12" t="str">
        <f aca="false">IF(F56="","",ROUND((E56+F56)/2,-1))</f>
        <v/>
      </c>
      <c r="L56" s="12" t="str">
        <f aca="false">IF(F56="","",ROUND((F56+G56)/2,-1))</f>
        <v/>
      </c>
    </row>
    <row r="57" customFormat="false" ht="15" hidden="false" customHeight="false" outlineLevel="0" collapsed="false">
      <c r="A57" s="16"/>
      <c r="D57" s="34" t="str">
        <f aca="false">IF(A57="","",COUNTIFS($A$33:$A$50,A57,$L$33:$L$50,"&lt;&gt;"))</f>
        <v/>
      </c>
      <c r="E57" s="12" t="str">
        <f aca="false">IF(OR(A57="",N(D57)=0),"",_xlfn.MINIFS($L$33:$L$50,$A$33:$A$50,A57))</f>
        <v/>
      </c>
      <c r="F57" s="12" t="str">
        <f aca="false">IF(OR(A57="",N(D57)=0),"",AVERAGEIFS($L$33:$L$50,$A$33:$A$50,A57))</f>
        <v/>
      </c>
      <c r="G57" s="12" t="str">
        <f aca="false">IF(OR(A57="",N(D57)=0),"",_xlfn.MAXIFS($L$33:$L$50,$A$33:$A$50,A57))</f>
        <v/>
      </c>
      <c r="K57" s="12" t="str">
        <f aca="false">IF(F57="","",ROUND((E57+F57)/2,-1))</f>
        <v/>
      </c>
      <c r="L57" s="12" t="str">
        <f aca="false">IF(F57="","",ROUND((F57+G57)/2,-1))</f>
        <v/>
      </c>
    </row>
    <row r="58" customFormat="false" ht="15" hidden="false" customHeight="false" outlineLevel="0" collapsed="false">
      <c r="A58" s="16"/>
      <c r="D58" s="34" t="str">
        <f aca="false">IF(A58="","",COUNTIFS($A$33:$A$50,A58,$L$33:$L$50,"&lt;&gt;"))</f>
        <v/>
      </c>
      <c r="E58" s="12" t="str">
        <f aca="false">IF(OR(A58="",N(D58)=0),"",_xlfn.MINIFS($L$33:$L$50,$A$33:$A$50,A58))</f>
        <v/>
      </c>
      <c r="F58" s="12" t="str">
        <f aca="false">IF(OR(A58="",N(D58)=0),"",AVERAGEIFS($L$33:$L$50,$A$33:$A$50,A58))</f>
        <v/>
      </c>
      <c r="G58" s="12" t="str">
        <f aca="false">IF(OR(A58="",N(D58)=0),"",_xlfn.MAXIFS($L$33:$L$50,$A$33:$A$50,A58))</f>
        <v/>
      </c>
      <c r="K58" s="12" t="str">
        <f aca="false">IF(F58="","",ROUND((E58+F58)/2,-1))</f>
        <v/>
      </c>
      <c r="L58" s="12" t="str">
        <f aca="false">IF(F58="","",ROUND((F58+G58)/2,-1))</f>
        <v/>
      </c>
    </row>
    <row r="59" customFormat="false" ht="15" hidden="false" customHeight="false" outlineLevel="0" collapsed="false">
      <c r="A59" s="16"/>
      <c r="D59" s="34" t="str">
        <f aca="false">IF(A59="","",COUNTIFS($A$33:$A$50,A59,$L$33:$L$50,"&lt;&gt;"))</f>
        <v/>
      </c>
      <c r="E59" s="12" t="str">
        <f aca="false">IF(OR(A59="",N(D59)=0),"",_xlfn.MINIFS($L$33:$L$50,$A$33:$A$50,A59))</f>
        <v/>
      </c>
      <c r="F59" s="12" t="str">
        <f aca="false">IF(OR(A59="",N(D59)=0),"",AVERAGEIFS($L$33:$L$50,$A$33:$A$50,A59))</f>
        <v/>
      </c>
      <c r="G59" s="12" t="str">
        <f aca="false">IF(OR(A59="",N(D59)=0),"",_xlfn.MAXIFS($L$33:$L$50,$A$33:$A$50,A59))</f>
        <v/>
      </c>
      <c r="K59" s="12" t="str">
        <f aca="false">IF(F59="","",ROUND((E59+F59)/2,-1))</f>
        <v/>
      </c>
      <c r="L59" s="12" t="str">
        <f aca="false">IF(F59="","",ROUND((F59+G59)/2,-1))</f>
        <v/>
      </c>
    </row>
    <row r="60" customFormat="false" ht="15" hidden="false" customHeight="false" outlineLevel="0" collapsed="false">
      <c r="A60" s="16"/>
      <c r="D60" s="34" t="str">
        <f aca="false">IF(A60="","",COUNTIFS($A$33:$A$50,A60,$L$33:$L$50,"&lt;&gt;"))</f>
        <v/>
      </c>
      <c r="E60" s="12" t="str">
        <f aca="false">IF(OR(A60="",N(D60)=0),"",_xlfn.MINIFS($L$33:$L$50,$A$33:$A$50,A60))</f>
        <v/>
      </c>
      <c r="F60" s="12" t="str">
        <f aca="false">IF(OR(A60="",N(D60)=0),"",AVERAGEIFS($L$33:$L$50,$A$33:$A$50,A60))</f>
        <v/>
      </c>
      <c r="G60" s="12" t="str">
        <f aca="false">IF(OR(A60="",N(D60)=0),"",_xlfn.MAXIFS($L$33:$L$50,$A$33:$A$50,A60))</f>
        <v/>
      </c>
      <c r="K60" s="12" t="str">
        <f aca="false">IF(F60="","",ROUND((E60+F60)/2,-1))</f>
        <v/>
      </c>
      <c r="L60" s="12" t="str">
        <f aca="false">IF(F60="","",ROUND((F60+G60)/2,-1))</f>
        <v/>
      </c>
    </row>
    <row r="62" customFormat="false" ht="15" hidden="false" customHeight="false" outlineLevel="0" collapsed="false">
      <c r="A62" s="17" t="s">
        <v>171</v>
      </c>
    </row>
  </sheetData>
  <mergeCells count="21">
    <mergeCell ref="A29:O29"/>
    <mergeCell ref="A30:O30"/>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s>
  <conditionalFormatting sqref="O6:O25">
    <cfRule type="expression" priority="2" aboveAverage="0" equalAverage="0" bottom="0" percent="0" rank="0" text="" dxfId="0">
      <formula>LEFT(O6,5)="Above"</formula>
    </cfRule>
    <cfRule type="expression" priority="3" aboveAverage="0" equalAverage="0" bottom="0" percent="0" rank="0" text="" dxfId="1">
      <formula>LEFT(O6,5)="Below"</formula>
    </cfRule>
  </conditionalFormatting>
  <dataValidations count="2">
    <dataValidation allowBlank="true" errorStyle="stop" operator="between" showDropDown="false" showErrorMessage="false" showInputMessage="false" sqref="G6:G25" type="list">
      <formula1>"Occupied,Month-to-month,Vacant"</formula1>
      <formula2>0</formula2>
    </dataValidation>
    <dataValidation allowBlank="true" errorStyle="stop" operator="between" showDropDown="false" showErrorMessage="false" showInputMessage="false" sqref="F33:F50" type="list">
      <formula1>"Asking,Leased"</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4"/>
    <col collapsed="false" customWidth="true" hidden="false" outlineLevel="0" max="3" min="3" style="0" width="11"/>
    <col collapsed="false" customWidth="true" hidden="false" outlineLevel="0" max="4" min="4" style="0" width="16"/>
    <col collapsed="false" customWidth="true" hidden="false" outlineLevel="0" max="6" min="5" style="0" width="14"/>
    <col collapsed="false" customWidth="true" hidden="false" outlineLevel="0" max="7" min="7" style="0" width="11"/>
    <col collapsed="false" customWidth="true" hidden="false" outlineLevel="0" max="8" min="8" style="0" width="60"/>
  </cols>
  <sheetData>
    <row r="1" customFormat="false" ht="24" hidden="false" customHeight="true" outlineLevel="0" collapsed="false">
      <c r="A1" s="1" t="s">
        <v>172</v>
      </c>
    </row>
    <row r="2" customFormat="false" ht="15" hidden="false" customHeight="false" outlineLevel="0" collapsed="false">
      <c r="A2" s="2" t="s">
        <v>24</v>
      </c>
    </row>
    <row r="4" customFormat="false" ht="18" hidden="false" customHeight="true" outlineLevel="0" collapsed="false">
      <c r="A4" s="4" t="s">
        <v>173</v>
      </c>
      <c r="B4" s="5"/>
      <c r="C4" s="5"/>
      <c r="D4" s="5"/>
      <c r="E4" s="5"/>
      <c r="F4" s="5"/>
      <c r="G4" s="5"/>
      <c r="H4" s="5"/>
    </row>
    <row r="5" customFormat="false" ht="27.75" hidden="false" customHeight="true" outlineLevel="0" collapsed="false">
      <c r="A5" s="7" t="s">
        <v>174</v>
      </c>
      <c r="B5" s="7" t="s">
        <v>175</v>
      </c>
      <c r="C5" s="7" t="s">
        <v>176</v>
      </c>
      <c r="D5" s="7" t="s">
        <v>177</v>
      </c>
      <c r="E5" s="7" t="s">
        <v>178</v>
      </c>
      <c r="F5" s="7" t="s">
        <v>179</v>
      </c>
      <c r="G5" s="7" t="s">
        <v>180</v>
      </c>
      <c r="H5" s="7" t="s">
        <v>181</v>
      </c>
    </row>
    <row r="6" customFormat="false" ht="15" hidden="false" customHeight="false" outlineLevel="0" collapsed="false">
      <c r="A6" s="11" t="s">
        <v>182</v>
      </c>
      <c r="B6" s="10"/>
      <c r="E6" s="13" t="n">
        <f aca="false">GPR_Cur_Mo*12</f>
        <v>0</v>
      </c>
      <c r="F6" s="13" t="n">
        <f aca="false">GPR_Stab_Mo*12</f>
        <v>0</v>
      </c>
      <c r="H6" s="17" t="s">
        <v>183</v>
      </c>
    </row>
    <row r="7" customFormat="false" ht="15" hidden="false" customHeight="false" outlineLevel="0" collapsed="false">
      <c r="A7" s="11" t="s">
        <v>184</v>
      </c>
      <c r="B7" s="10"/>
      <c r="E7" s="12" t="n">
        <f aca="false">SUM(B38:B42)</f>
        <v>0</v>
      </c>
      <c r="F7" s="12" t="n">
        <f aca="false">Other_Cur+VA_OtherIncome</f>
        <v>0</v>
      </c>
      <c r="H7" s="17" t="s">
        <v>185</v>
      </c>
    </row>
    <row r="8" customFormat="false" ht="15" hidden="false" customHeight="false" outlineLevel="0" collapsed="false">
      <c r="A8" s="11" t="s">
        <v>186</v>
      </c>
      <c r="B8" s="21"/>
      <c r="E8" s="21"/>
      <c r="F8" s="21"/>
      <c r="H8" s="17" t="s">
        <v>187</v>
      </c>
    </row>
    <row r="9" customFormat="false" ht="15" hidden="false" customHeight="false" outlineLevel="0" collapsed="false">
      <c r="A9" s="11" t="s">
        <v>188</v>
      </c>
      <c r="B9" s="12" t="n">
        <f aca="false">-(B6+B7)*Seller_Vac</f>
        <v>-0</v>
      </c>
      <c r="E9" s="12" t="n">
        <f aca="false">-(GPR_Cur+Other_Cur)*Vac_Cur</f>
        <v>-0</v>
      </c>
      <c r="F9" s="12" t="n">
        <f aca="false">-(GPR_Stab+Other_Stab)*Vac_Stab</f>
        <v>-0</v>
      </c>
    </row>
    <row r="10" customFormat="false" ht="15" hidden="false" customHeight="false" outlineLevel="0" collapsed="false">
      <c r="A10" s="20" t="s">
        <v>189</v>
      </c>
      <c r="B10" s="31" t="n">
        <f aca="false">B6+B7+B9</f>
        <v>0</v>
      </c>
      <c r="E10" s="31" t="n">
        <f aca="false">GPR_Cur+Other_Cur+E9</f>
        <v>0</v>
      </c>
      <c r="F10" s="31" t="n">
        <f aca="false">GPR_Stab+Other_Stab+F9</f>
        <v>0</v>
      </c>
      <c r="G10" s="12" t="n">
        <f aca="false">IFERROR(E10/Units,0)</f>
        <v>0</v>
      </c>
    </row>
    <row r="12" customFormat="false" ht="18" hidden="false" customHeight="true" outlineLevel="0" collapsed="false">
      <c r="A12" s="4" t="s">
        <v>190</v>
      </c>
      <c r="B12" s="5"/>
      <c r="C12" s="5"/>
      <c r="D12" s="5"/>
      <c r="E12" s="5"/>
      <c r="F12" s="5"/>
      <c r="G12" s="5"/>
      <c r="H12" s="5"/>
    </row>
    <row r="13" customFormat="false" ht="27.75" hidden="false" customHeight="true" outlineLevel="0" collapsed="false">
      <c r="A13" s="7" t="s">
        <v>174</v>
      </c>
      <c r="B13" s="7" t="s">
        <v>175</v>
      </c>
      <c r="C13" s="7" t="s">
        <v>176</v>
      </c>
      <c r="D13" s="7" t="s">
        <v>177</v>
      </c>
      <c r="E13" s="7" t="s">
        <v>178</v>
      </c>
      <c r="F13" s="7" t="s">
        <v>179</v>
      </c>
      <c r="G13" s="7" t="s">
        <v>180</v>
      </c>
      <c r="H13" s="7" t="s">
        <v>181</v>
      </c>
    </row>
    <row r="14" customFormat="false" ht="15" hidden="false" customHeight="false" outlineLevel="0" collapsed="false">
      <c r="A14" s="11" t="s">
        <v>191</v>
      </c>
      <c r="B14" s="10"/>
      <c r="D14" s="3" t="s">
        <v>115</v>
      </c>
      <c r="E14" s="13" t="n">
        <f aca="false">Tax_Underwrite</f>
        <v>0</v>
      </c>
      <c r="F14" s="13" t="n">
        <f aca="false">Tax_Underwrite</f>
        <v>0</v>
      </c>
      <c r="G14" s="12" t="n">
        <f aca="false">IFERROR(E14/Units,0)</f>
        <v>0</v>
      </c>
      <c r="H14" s="17" t="s">
        <v>192</v>
      </c>
    </row>
    <row r="15" customFormat="false" ht="15" hidden="false" customHeight="false" outlineLevel="0" collapsed="false">
      <c r="A15" s="11" t="s">
        <v>193</v>
      </c>
      <c r="B15" s="10"/>
      <c r="C15" s="10"/>
      <c r="D15" s="3" t="s">
        <v>194</v>
      </c>
      <c r="E15" s="12" t="n">
        <f aca="false">C15</f>
        <v>0</v>
      </c>
      <c r="F15" s="12" t="n">
        <f aca="false">C15</f>
        <v>0</v>
      </c>
      <c r="G15" s="12" t="n">
        <f aca="false">IFERROR(E15/Units,0)</f>
        <v>0</v>
      </c>
      <c r="H15" s="17" t="s">
        <v>195</v>
      </c>
    </row>
    <row r="16" customFormat="false" ht="15" hidden="false" customHeight="false" outlineLevel="0" collapsed="false">
      <c r="A16" s="11" t="s">
        <v>196</v>
      </c>
      <c r="B16" s="10"/>
      <c r="D16" s="3" t="s">
        <v>119</v>
      </c>
      <c r="E16" s="13" t="n">
        <f aca="false">Util_Heat</f>
        <v>0</v>
      </c>
      <c r="F16" s="13" t="n">
        <f aca="false">Util_Heat</f>
        <v>0</v>
      </c>
      <c r="G16" s="12" t="n">
        <f aca="false">IFERROR(E16/Units,0)</f>
        <v>0</v>
      </c>
      <c r="H16" s="17" t="s">
        <v>197</v>
      </c>
    </row>
    <row r="17" customFormat="false" ht="15" hidden="false" customHeight="false" outlineLevel="0" collapsed="false">
      <c r="A17" s="11" t="s">
        <v>198</v>
      </c>
      <c r="B17" s="10"/>
      <c r="D17" s="3" t="s">
        <v>119</v>
      </c>
      <c r="E17" s="13" t="n">
        <f aca="false">Util_Water</f>
        <v>0</v>
      </c>
      <c r="F17" s="13" t="n">
        <f aca="false">Util_Water</f>
        <v>0</v>
      </c>
      <c r="G17" s="12" t="n">
        <f aca="false">IFERROR(E17/Units,0)</f>
        <v>0</v>
      </c>
      <c r="H17" s="17" t="s">
        <v>199</v>
      </c>
    </row>
    <row r="18" customFormat="false" ht="15" hidden="false" customHeight="false" outlineLevel="0" collapsed="false">
      <c r="A18" s="11" t="s">
        <v>200</v>
      </c>
      <c r="B18" s="10"/>
      <c r="D18" s="3" t="s">
        <v>119</v>
      </c>
      <c r="E18" s="13" t="n">
        <f aca="false">Util_Elec</f>
        <v>0</v>
      </c>
      <c r="F18" s="13" t="n">
        <f aca="false">Util_Elec</f>
        <v>0</v>
      </c>
      <c r="G18" s="12" t="n">
        <f aca="false">IFERROR(E18/Units,0)</f>
        <v>0</v>
      </c>
      <c r="H18" s="17" t="s">
        <v>201</v>
      </c>
    </row>
    <row r="19" customFormat="false" ht="15" hidden="false" customHeight="false" outlineLevel="0" collapsed="false">
      <c r="A19" s="11" t="s">
        <v>202</v>
      </c>
      <c r="B19" s="10"/>
      <c r="D19" s="3" t="s">
        <v>119</v>
      </c>
      <c r="E19" s="13" t="n">
        <f aca="false">Util_Trash</f>
        <v>0</v>
      </c>
      <c r="F19" s="13" t="n">
        <f aca="false">Util_Trash</f>
        <v>0</v>
      </c>
      <c r="G19" s="12" t="n">
        <f aca="false">IFERROR(E19/Units,0)</f>
        <v>0</v>
      </c>
      <c r="H19" s="17" t="s">
        <v>203</v>
      </c>
    </row>
    <row r="20" customFormat="false" ht="15" hidden="false" customHeight="false" outlineLevel="0" collapsed="false">
      <c r="A20" s="11" t="s">
        <v>204</v>
      </c>
      <c r="B20" s="10"/>
      <c r="C20" s="10"/>
      <c r="D20" s="3" t="s">
        <v>205</v>
      </c>
      <c r="E20" s="12" t="n">
        <f aca="false">C20*Units</f>
        <v>0</v>
      </c>
      <c r="F20" s="12" t="n">
        <f aca="false">C20*Units</f>
        <v>0</v>
      </c>
      <c r="G20" s="12" t="n">
        <f aca="false">IFERROR(E20/Units,0)</f>
        <v>0</v>
      </c>
      <c r="H20" s="17" t="s">
        <v>206</v>
      </c>
    </row>
    <row r="21" customFormat="false" ht="15" hidden="false" customHeight="false" outlineLevel="0" collapsed="false">
      <c r="A21" s="11" t="s">
        <v>207</v>
      </c>
      <c r="B21" s="10"/>
      <c r="C21" s="10"/>
      <c r="D21" s="3" t="s">
        <v>205</v>
      </c>
      <c r="E21" s="12" t="n">
        <f aca="false">C21*Units</f>
        <v>0</v>
      </c>
      <c r="F21" s="12" t="n">
        <f aca="false">C21*Units</f>
        <v>0</v>
      </c>
      <c r="G21" s="12" t="n">
        <f aca="false">IFERROR(E21/Units,0)</f>
        <v>0</v>
      </c>
      <c r="H21" s="17" t="s">
        <v>208</v>
      </c>
    </row>
    <row r="22" customFormat="false" ht="15" hidden="false" customHeight="false" outlineLevel="0" collapsed="false">
      <c r="A22" s="11" t="s">
        <v>209</v>
      </c>
      <c r="B22" s="10"/>
      <c r="C22" s="21" t="n">
        <v>0.08</v>
      </c>
      <c r="D22" s="3" t="s">
        <v>210</v>
      </c>
      <c r="E22" s="12" t="n">
        <f aca="false">C22*EGI_Cur</f>
        <v>0</v>
      </c>
      <c r="F22" s="12" t="n">
        <f aca="false">C22*EGI_Stab</f>
        <v>0</v>
      </c>
      <c r="G22" s="12" t="n">
        <f aca="false">IFERROR(E22/Units,0)</f>
        <v>0</v>
      </c>
      <c r="H22" s="17" t="s">
        <v>211</v>
      </c>
    </row>
    <row r="23" customFormat="false" ht="15" hidden="false" customHeight="false" outlineLevel="0" collapsed="false">
      <c r="A23" s="11" t="s">
        <v>212</v>
      </c>
      <c r="B23" s="10"/>
      <c r="C23" s="10"/>
      <c r="D23" s="3" t="s">
        <v>205</v>
      </c>
      <c r="E23" s="12" t="n">
        <f aca="false">C23*Units</f>
        <v>0</v>
      </c>
      <c r="F23" s="12" t="n">
        <f aca="false">C23*Units</f>
        <v>0</v>
      </c>
      <c r="G23" s="12" t="n">
        <f aca="false">IFERROR(E23/Units,0)</f>
        <v>0</v>
      </c>
      <c r="H23" s="17" t="s">
        <v>213</v>
      </c>
    </row>
    <row r="24" customFormat="false" ht="15" hidden="false" customHeight="false" outlineLevel="0" collapsed="false">
      <c r="A24" s="11" t="s">
        <v>214</v>
      </c>
      <c r="B24" s="10"/>
      <c r="C24" s="10"/>
      <c r="D24" s="3" t="s">
        <v>215</v>
      </c>
      <c r="E24" s="12" t="n">
        <f aca="false">C24</f>
        <v>0</v>
      </c>
      <c r="F24" s="12" t="n">
        <f aca="false">C24</f>
        <v>0</v>
      </c>
      <c r="G24" s="12" t="n">
        <f aca="false">IFERROR(E24/Units,0)</f>
        <v>0</v>
      </c>
      <c r="H24" s="17"/>
    </row>
    <row r="25" customFormat="false" ht="15" hidden="false" customHeight="false" outlineLevel="0" collapsed="false">
      <c r="A25" s="11" t="s">
        <v>216</v>
      </c>
      <c r="B25" s="10"/>
      <c r="C25" s="10"/>
      <c r="D25" s="3" t="s">
        <v>215</v>
      </c>
      <c r="E25" s="12" t="n">
        <f aca="false">C25</f>
        <v>0</v>
      </c>
      <c r="F25" s="12" t="n">
        <f aca="false">C25</f>
        <v>0</v>
      </c>
      <c r="G25" s="12" t="n">
        <f aca="false">IFERROR(E25/Units,0)</f>
        <v>0</v>
      </c>
      <c r="H25" s="17"/>
    </row>
    <row r="26" customFormat="false" ht="15" hidden="false" customHeight="false" outlineLevel="0" collapsed="false">
      <c r="A26" s="11" t="s">
        <v>217</v>
      </c>
      <c r="B26" s="10"/>
      <c r="C26" s="10"/>
      <c r="D26" s="3" t="s">
        <v>205</v>
      </c>
      <c r="E26" s="12" t="n">
        <f aca="false">C26*Units</f>
        <v>0</v>
      </c>
      <c r="F26" s="12" t="n">
        <f aca="false">C26*Units</f>
        <v>0</v>
      </c>
      <c r="G26" s="12" t="n">
        <f aca="false">IFERROR(E26/Units,0)</f>
        <v>0</v>
      </c>
      <c r="H26" s="17" t="s">
        <v>218</v>
      </c>
    </row>
    <row r="27" customFormat="false" ht="15" hidden="false" customHeight="false" outlineLevel="0" collapsed="false">
      <c r="A27" s="11" t="s">
        <v>219</v>
      </c>
      <c r="B27" s="10"/>
      <c r="C27" s="10"/>
      <c r="D27" s="3" t="s">
        <v>215</v>
      </c>
      <c r="E27" s="12" t="n">
        <f aca="false">C27</f>
        <v>0</v>
      </c>
      <c r="F27" s="12" t="n">
        <f aca="false">C27</f>
        <v>0</v>
      </c>
      <c r="G27" s="12" t="n">
        <f aca="false">IFERROR(E27/Units,0)</f>
        <v>0</v>
      </c>
      <c r="H27" s="17" t="s">
        <v>220</v>
      </c>
    </row>
    <row r="28" customFormat="false" ht="15" hidden="false" customHeight="false" outlineLevel="0" collapsed="false">
      <c r="A28" s="20" t="s">
        <v>221</v>
      </c>
      <c r="B28" s="31" t="n">
        <f aca="false">SUM(B14:B27)</f>
        <v>0</v>
      </c>
      <c r="E28" s="31" t="n">
        <f aca="false">SUM(E14:E27)</f>
        <v>0</v>
      </c>
      <c r="F28" s="31" t="n">
        <f aca="false">SUM(F14:F27)</f>
        <v>0</v>
      </c>
      <c r="G28" s="31" t="n">
        <f aca="false">IFERROR(E28/Units,0)</f>
        <v>0</v>
      </c>
    </row>
    <row r="29" customFormat="false" ht="15" hidden="false" customHeight="false" outlineLevel="0" collapsed="false">
      <c r="A29" s="20" t="s">
        <v>222</v>
      </c>
      <c r="B29" s="31" t="n">
        <f aca="false">Seller_EGI-Seller_OpEx</f>
        <v>0</v>
      </c>
      <c r="E29" s="31" t="n">
        <f aca="false">EGI_Cur-OpEx_Cur</f>
        <v>0</v>
      </c>
      <c r="F29" s="31" t="n">
        <f aca="false">EGI_Stab-OpEx_Stab</f>
        <v>0</v>
      </c>
      <c r="G29" s="31" t="n">
        <f aca="false">IFERROR(E29/Units,0)</f>
        <v>0</v>
      </c>
    </row>
    <row r="30" customFormat="false" ht="15" hidden="false" customHeight="false" outlineLevel="0" collapsed="false">
      <c r="A30" s="11" t="s">
        <v>223</v>
      </c>
      <c r="B30" s="23" t="n">
        <f aca="false">IFERROR(Seller_OpEx/Seller_EGI,0)</f>
        <v>0</v>
      </c>
      <c r="E30" s="23" t="n">
        <f aca="false">IFERROR(OpEx_Cur/EGI_Cur,0)</f>
        <v>0</v>
      </c>
      <c r="F30" s="23" t="n">
        <f aca="false">IFERROR(OpEx_Stab/EGI_Stab,0)</f>
        <v>0</v>
      </c>
      <c r="H30" s="26" t="str">
        <f aca="false">IF(N(EGI_Cur)=0,"",IF(ExpRatio_Cur&lt;0.35,"Below 35%: look for missing lines",IF(ExpRatio_Cur&gt;0.5,"Above 50%: common in older buildings with owner-paid utilities. Verify each line.","Within the typical 35% to 50% range")))</f>
        <v/>
      </c>
    </row>
    <row r="31" customFormat="false" ht="15" hidden="false" customHeight="false" outlineLevel="0" collapsed="false">
      <c r="A31" s="11" t="s">
        <v>224</v>
      </c>
      <c r="B31" s="23" t="n">
        <f aca="false">IFERROR(Seller_NOI/AskingPrice,0)</f>
        <v>0</v>
      </c>
      <c r="E31" s="23" t="n">
        <f aca="false">IFERROR(NOI_Cur/Price,0)</f>
        <v>0</v>
      </c>
      <c r="F31" s="23" t="n">
        <f aca="false">IFERROR(NOI_Stab/Price,0)</f>
        <v>0</v>
      </c>
      <c r="H31" s="17" t="s">
        <v>225</v>
      </c>
    </row>
    <row r="32" customFormat="false" ht="15" hidden="false" customHeight="false" outlineLevel="0" collapsed="false">
      <c r="A32" s="20" t="s">
        <v>226</v>
      </c>
      <c r="B32" s="35" t="n">
        <f aca="false">Seller_NOI-NOI_Cur</f>
        <v>0</v>
      </c>
      <c r="E32" s="12" t="n">
        <f aca="false">IFERROR(NOI_Gap/BB_CapCurrent,0)</f>
        <v>0</v>
      </c>
      <c r="H32" s="17" t="s">
        <v>227</v>
      </c>
    </row>
    <row r="34" customFormat="false" ht="37.5" hidden="false" customHeight="true" outlineLevel="0" collapsed="false">
      <c r="A34" s="28" t="s">
        <v>228</v>
      </c>
      <c r="B34" s="28"/>
      <c r="C34" s="28"/>
      <c r="D34" s="28"/>
      <c r="E34" s="28"/>
      <c r="F34" s="28"/>
      <c r="G34" s="28"/>
      <c r="H34" s="28"/>
    </row>
    <row r="35" customFormat="false" ht="21.75" hidden="false" customHeight="true" outlineLevel="0" collapsed="false">
      <c r="A35" s="29" t="s">
        <v>229</v>
      </c>
      <c r="B35" s="29"/>
      <c r="C35" s="29"/>
      <c r="D35" s="29"/>
      <c r="E35" s="29"/>
      <c r="F35" s="29"/>
      <c r="G35" s="29"/>
      <c r="H35" s="29"/>
    </row>
    <row r="37" customFormat="false" ht="18" hidden="false" customHeight="true" outlineLevel="0" collapsed="false">
      <c r="A37" s="4" t="s">
        <v>230</v>
      </c>
      <c r="B37" s="5"/>
      <c r="C37" s="5"/>
      <c r="D37" s="5"/>
      <c r="E37" s="5"/>
      <c r="F37" s="5"/>
      <c r="G37" s="5"/>
      <c r="H37" s="5"/>
    </row>
    <row r="38" customFormat="false" ht="15" hidden="false" customHeight="false" outlineLevel="0" collapsed="false">
      <c r="A38" s="26" t="s">
        <v>231</v>
      </c>
      <c r="B38" s="10"/>
      <c r="H38" s="17"/>
    </row>
    <row r="39" customFormat="false" ht="15" hidden="false" customHeight="false" outlineLevel="0" collapsed="false">
      <c r="A39" s="26" t="s">
        <v>232</v>
      </c>
      <c r="B39" s="10"/>
      <c r="H39" s="17"/>
    </row>
    <row r="40" customFormat="false" ht="15" hidden="false" customHeight="false" outlineLevel="0" collapsed="false">
      <c r="A40" s="26" t="s">
        <v>233</v>
      </c>
      <c r="B40" s="10"/>
      <c r="H40" s="17"/>
    </row>
    <row r="41" customFormat="false" ht="15" hidden="false" customHeight="false" outlineLevel="0" collapsed="false">
      <c r="A41" s="26" t="s">
        <v>234</v>
      </c>
      <c r="B41" s="10"/>
      <c r="H41" s="17"/>
    </row>
    <row r="42" customFormat="false" ht="15" hidden="false" customHeight="false" outlineLevel="0" collapsed="false">
      <c r="A42" s="26" t="s">
        <v>235</v>
      </c>
      <c r="B42" s="10"/>
      <c r="H42" s="17"/>
    </row>
    <row r="43" customFormat="false" ht="15" hidden="false" customHeight="false" outlineLevel="0" collapsed="false">
      <c r="A43" s="20" t="s">
        <v>236</v>
      </c>
      <c r="B43" s="31" t="n">
        <f aca="false">SUM(B38:B42)</f>
        <v>0</v>
      </c>
      <c r="H43" s="17" t="s">
        <v>237</v>
      </c>
    </row>
  </sheetData>
  <mergeCells count="2">
    <mergeCell ref="A34:H34"/>
    <mergeCell ref="A35:H35"/>
  </mergeCell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3" min="2" style="0" width="18"/>
    <col collapsed="false" customWidth="true" hidden="false" outlineLevel="0" max="4" min="4" style="0" width="22"/>
    <col collapsed="false" customWidth="true" hidden="false" outlineLevel="0" max="5" min="5" style="0" width="60"/>
  </cols>
  <sheetData>
    <row r="1" customFormat="false" ht="24" hidden="false" customHeight="true" outlineLevel="0" collapsed="false">
      <c r="A1" s="1" t="s">
        <v>238</v>
      </c>
    </row>
    <row r="2" customFormat="false" ht="15" hidden="false" customHeight="false" outlineLevel="0" collapsed="false">
      <c r="A2" s="2" t="s">
        <v>28</v>
      </c>
    </row>
    <row r="4" customFormat="false" ht="18" hidden="false" customHeight="true" outlineLevel="0" collapsed="false">
      <c r="A4" s="4" t="s">
        <v>239</v>
      </c>
      <c r="B4" s="5"/>
      <c r="C4" s="5"/>
      <c r="D4" s="5"/>
      <c r="E4" s="5"/>
    </row>
    <row r="5" customFormat="false" ht="27.75" hidden="false" customHeight="true" outlineLevel="0" collapsed="false">
      <c r="A5" s="7" t="s">
        <v>240</v>
      </c>
      <c r="B5" s="7" t="s">
        <v>241</v>
      </c>
      <c r="C5" s="7" t="s">
        <v>242</v>
      </c>
      <c r="D5" s="7" t="s">
        <v>243</v>
      </c>
      <c r="E5" s="7" t="s">
        <v>244</v>
      </c>
    </row>
    <row r="6" customFormat="false" ht="15" hidden="false" customHeight="false" outlineLevel="0" collapsed="false">
      <c r="A6" s="26" t="s">
        <v>245</v>
      </c>
      <c r="B6" s="16"/>
      <c r="C6" s="16"/>
      <c r="D6" s="26" t="str">
        <f aca="false">IF(OR(B6="",C6=""),"",IF(B6=C6,"Match","MISMATCH: verify"))</f>
        <v/>
      </c>
      <c r="E6" s="27" t="s">
        <v>246</v>
      </c>
    </row>
    <row r="7" customFormat="false" ht="15" hidden="false" customHeight="false" outlineLevel="0" collapsed="false">
      <c r="A7" s="26" t="s">
        <v>247</v>
      </c>
      <c r="B7" s="16"/>
      <c r="C7" s="16"/>
      <c r="D7" s="26" t="str">
        <f aca="false">IF(OR(B7="",C7=""),"",IF(B7=C7,"Match","MISMATCH: verify"))</f>
        <v/>
      </c>
      <c r="E7" s="27" t="s">
        <v>248</v>
      </c>
    </row>
    <row r="8" customFormat="false" ht="15" hidden="false" customHeight="false" outlineLevel="0" collapsed="false">
      <c r="A8" s="26" t="s">
        <v>249</v>
      </c>
      <c r="B8" s="16"/>
      <c r="C8" s="16"/>
      <c r="D8" s="26" t="str">
        <f aca="false">IF(OR(B8="",C8=""),"",IF(B8=C8,"Match","MISMATCH: verify"))</f>
        <v/>
      </c>
      <c r="E8" s="27" t="s">
        <v>250</v>
      </c>
    </row>
    <row r="9" customFormat="false" ht="15" hidden="false" customHeight="false" outlineLevel="0" collapsed="false">
      <c r="A9" s="26" t="s">
        <v>67</v>
      </c>
      <c r="B9" s="16"/>
      <c r="C9" s="16"/>
      <c r="D9" s="26" t="str">
        <f aca="false">IF(OR(B9="",C9=""),"",IF(B9=C9,"Match","MISMATCH: verify"))</f>
        <v/>
      </c>
      <c r="E9" s="27" t="s">
        <v>251</v>
      </c>
    </row>
    <row r="10" customFormat="false" ht="15" hidden="false" customHeight="false" outlineLevel="0" collapsed="false">
      <c r="A10" s="26" t="s">
        <v>252</v>
      </c>
      <c r="B10" s="16"/>
      <c r="C10" s="16"/>
      <c r="D10" s="26" t="str">
        <f aca="false">IF(OR(B10="",C10=""),"",IF(B10=C10,"Match","MISMATCH: verify"))</f>
        <v/>
      </c>
      <c r="E10" s="27" t="s">
        <v>253</v>
      </c>
    </row>
    <row r="12" customFormat="false" ht="18" hidden="false" customHeight="true" outlineLevel="0" collapsed="false">
      <c r="A12" s="4" t="s">
        <v>254</v>
      </c>
      <c r="B12" s="5"/>
      <c r="C12" s="5"/>
      <c r="D12" s="5"/>
      <c r="E12" s="5"/>
    </row>
    <row r="13" customFormat="false" ht="27.75" hidden="false" customHeight="true" outlineLevel="0" collapsed="false">
      <c r="A13" s="7" t="s">
        <v>255</v>
      </c>
      <c r="B13" s="7" t="s">
        <v>256</v>
      </c>
      <c r="C13" s="7"/>
      <c r="D13" s="7" t="s">
        <v>103</v>
      </c>
      <c r="E13" s="7" t="s">
        <v>257</v>
      </c>
    </row>
    <row r="14" customFormat="false" ht="15" hidden="false" customHeight="false" outlineLevel="0" collapsed="false">
      <c r="A14" s="26" t="s">
        <v>258</v>
      </c>
      <c r="B14" s="36"/>
      <c r="C14" s="36"/>
      <c r="D14" s="16"/>
      <c r="E14" s="27" t="s">
        <v>259</v>
      </c>
    </row>
    <row r="15" customFormat="false" ht="15" hidden="false" customHeight="false" outlineLevel="0" collapsed="false">
      <c r="A15" s="26" t="s">
        <v>260</v>
      </c>
      <c r="B15" s="36"/>
      <c r="C15" s="36"/>
      <c r="D15" s="16"/>
      <c r="E15" s="27" t="s">
        <v>261</v>
      </c>
    </row>
    <row r="16" customFormat="false" ht="15" hidden="false" customHeight="false" outlineLevel="0" collapsed="false">
      <c r="A16" s="26" t="s">
        <v>262</v>
      </c>
      <c r="B16" s="36"/>
      <c r="C16" s="36"/>
      <c r="D16" s="16"/>
      <c r="E16" s="27" t="s">
        <v>263</v>
      </c>
    </row>
    <row r="17" customFormat="false" ht="15" hidden="false" customHeight="false" outlineLevel="0" collapsed="false">
      <c r="A17" s="26" t="s">
        <v>264</v>
      </c>
      <c r="B17" s="36"/>
      <c r="C17" s="36"/>
      <c r="D17" s="16"/>
      <c r="E17" s="27" t="s">
        <v>265</v>
      </c>
    </row>
    <row r="18" customFormat="false" ht="15" hidden="false" customHeight="false" outlineLevel="0" collapsed="false">
      <c r="A18" s="26" t="s">
        <v>266</v>
      </c>
      <c r="B18" s="36"/>
      <c r="C18" s="36"/>
      <c r="D18" s="16"/>
      <c r="E18" s="27" t="s">
        <v>267</v>
      </c>
    </row>
    <row r="19" customFormat="false" ht="15" hidden="false" customHeight="false" outlineLevel="0" collapsed="false">
      <c r="A19" s="26" t="s">
        <v>268</v>
      </c>
      <c r="B19" s="36"/>
      <c r="C19" s="36"/>
      <c r="D19" s="16"/>
      <c r="E19" s="27" t="s">
        <v>269</v>
      </c>
    </row>
    <row r="20" customFormat="false" ht="15" hidden="false" customHeight="false" outlineLevel="0" collapsed="false">
      <c r="A20" s="26" t="s">
        <v>270</v>
      </c>
      <c r="B20" s="36"/>
      <c r="C20" s="36"/>
      <c r="D20" s="16"/>
      <c r="E20" s="27" t="s">
        <v>271</v>
      </c>
    </row>
    <row r="21" customFormat="false" ht="15" hidden="false" customHeight="false" outlineLevel="0" collapsed="false">
      <c r="A21" s="26" t="s">
        <v>272</v>
      </c>
      <c r="B21" s="36"/>
      <c r="C21" s="36"/>
      <c r="D21" s="16"/>
      <c r="E21" s="27" t="s">
        <v>273</v>
      </c>
    </row>
    <row r="22" customFormat="false" ht="15" hidden="false" customHeight="false" outlineLevel="0" collapsed="false">
      <c r="A22" s="26" t="s">
        <v>274</v>
      </c>
      <c r="B22" s="36"/>
      <c r="C22" s="36"/>
      <c r="D22" s="16"/>
      <c r="E22" s="27" t="s">
        <v>273</v>
      </c>
    </row>
    <row r="23" customFormat="false" ht="15" hidden="false" customHeight="false" outlineLevel="0" collapsed="false">
      <c r="A23" s="26" t="s">
        <v>275</v>
      </c>
      <c r="B23" s="36"/>
      <c r="C23" s="36"/>
      <c r="D23" s="16"/>
      <c r="E23" s="27" t="s">
        <v>276</v>
      </c>
    </row>
    <row r="25" customFormat="false" ht="37.5" hidden="false" customHeight="true" outlineLevel="0" collapsed="false">
      <c r="A25" s="28" t="s">
        <v>277</v>
      </c>
      <c r="B25" s="28"/>
      <c r="C25" s="28"/>
      <c r="D25" s="28"/>
      <c r="E25" s="28"/>
    </row>
    <row r="27" customFormat="false" ht="18" hidden="false" customHeight="true" outlineLevel="0" collapsed="false">
      <c r="A27" s="4" t="s">
        <v>278</v>
      </c>
      <c r="B27" s="5"/>
      <c r="C27" s="5"/>
      <c r="D27" s="5"/>
      <c r="E27" s="5"/>
    </row>
    <row r="28" customFormat="false" ht="30" hidden="false" customHeight="true" outlineLevel="0" collapsed="false">
      <c r="A28" s="20" t="s">
        <v>279</v>
      </c>
      <c r="B28" s="6" t="s">
        <v>280</v>
      </c>
      <c r="C28" s="6"/>
      <c r="D28" s="6"/>
      <c r="E28" s="6"/>
    </row>
    <row r="29" customFormat="false" ht="15" hidden="false" customHeight="false" outlineLevel="0" collapsed="false">
      <c r="A29" s="11" t="s">
        <v>281</v>
      </c>
      <c r="B29" s="10"/>
      <c r="C29" s="37" t="s">
        <v>282</v>
      </c>
      <c r="D29" s="37"/>
      <c r="E29" s="37"/>
    </row>
    <row r="30" customFormat="false" ht="15" hidden="false" customHeight="false" outlineLevel="0" collapsed="false">
      <c r="A30" s="11" t="s">
        <v>283</v>
      </c>
      <c r="B30" s="10"/>
      <c r="C30" s="37" t="s">
        <v>284</v>
      </c>
      <c r="D30" s="37"/>
      <c r="E30" s="37"/>
    </row>
    <row r="31" customFormat="false" ht="15" hidden="false" customHeight="false" outlineLevel="0" collapsed="false">
      <c r="A31" s="11" t="s">
        <v>285</v>
      </c>
      <c r="B31" s="21" t="n">
        <v>0.1</v>
      </c>
      <c r="C31" s="37" t="s">
        <v>286</v>
      </c>
      <c r="D31" s="37"/>
      <c r="E31" s="37"/>
    </row>
    <row r="32" customFormat="false" ht="15" hidden="false" customHeight="false" outlineLevel="0" collapsed="false">
      <c r="A32" s="11" t="s">
        <v>287</v>
      </c>
      <c r="B32" s="38" t="n">
        <v>3.03</v>
      </c>
      <c r="C32" s="37" t="s">
        <v>288</v>
      </c>
      <c r="D32" s="37"/>
      <c r="E32" s="37"/>
    </row>
    <row r="33" customFormat="false" ht="15" hidden="false" customHeight="false" outlineLevel="0" collapsed="false">
      <c r="A33" s="11" t="s">
        <v>289</v>
      </c>
      <c r="B33" s="39"/>
      <c r="C33" s="37" t="s">
        <v>290</v>
      </c>
      <c r="D33" s="37"/>
      <c r="E33" s="37"/>
    </row>
    <row r="34" customFormat="false" ht="15" hidden="false" customHeight="false" outlineLevel="0" collapsed="false">
      <c r="A34" s="11" t="s">
        <v>291</v>
      </c>
      <c r="B34" s="10"/>
      <c r="C34" s="37" t="s">
        <v>292</v>
      </c>
      <c r="D34" s="37"/>
      <c r="E34" s="37"/>
    </row>
    <row r="35" customFormat="false" ht="15" hidden="false" customHeight="false" outlineLevel="0" collapsed="false">
      <c r="A35" s="11" t="s">
        <v>293</v>
      </c>
      <c r="B35" s="19"/>
      <c r="C35" s="37" t="s">
        <v>294</v>
      </c>
      <c r="D35" s="37"/>
      <c r="E35" s="37"/>
    </row>
    <row r="37" customFormat="false" ht="27.75" hidden="false" customHeight="true" outlineLevel="0" collapsed="false">
      <c r="A37" s="7" t="s">
        <v>295</v>
      </c>
      <c r="B37" s="7" t="s">
        <v>296</v>
      </c>
      <c r="C37" s="7" t="s">
        <v>297</v>
      </c>
      <c r="D37" s="7"/>
      <c r="E37" s="7" t="s">
        <v>298</v>
      </c>
    </row>
    <row r="38" customFormat="false" ht="15" hidden="false" customHeight="false" outlineLevel="0" collapsed="false">
      <c r="A38" s="11" t="s">
        <v>299</v>
      </c>
      <c r="B38" s="12" t="n">
        <f aca="false">MAX(0,Tax_CurMV*Tax_Level*Tax_Eq-Tax_Exempt)*Tax_Rate</f>
        <v>0</v>
      </c>
      <c r="C38" s="23" t="n">
        <f aca="false">IFERROR(Tax_Check/Tax_SellerBill-1,0)</f>
        <v>0</v>
      </c>
      <c r="E38" s="17" t="s">
        <v>300</v>
      </c>
    </row>
    <row r="39" customFormat="false" ht="15" hidden="false" customHeight="false" outlineLevel="0" collapsed="false">
      <c r="A39" s="11" t="s">
        <v>301</v>
      </c>
      <c r="B39" s="12" t="n">
        <f aca="false">Tax_CurMV*Tax_Level*Tax_Eq*Tax_Rate</f>
        <v>0</v>
      </c>
      <c r="C39" s="23" t="n">
        <f aca="false">IFERROR(Tax_DayOne/Tax_SellerBill-1,0)</f>
        <v>0</v>
      </c>
      <c r="E39" s="17" t="s">
        <v>302</v>
      </c>
    </row>
    <row r="40" customFormat="false" ht="15" hidden="false" customHeight="false" outlineLevel="0" collapsed="false">
      <c r="A40" s="20" t="s">
        <v>303</v>
      </c>
      <c r="B40" s="35" t="n">
        <f aca="false">Price*Tax_Level*Tax_Eq*Tax_Rate</f>
        <v>0</v>
      </c>
      <c r="C40" s="40" t="n">
        <f aca="false">IFERROR(Tax_Reassessed/Tax_SellerBill-1,0)</f>
        <v>0</v>
      </c>
      <c r="E40" s="17" t="s">
        <v>304</v>
      </c>
    </row>
    <row r="42" customFormat="false" ht="15" hidden="false" customHeight="false" outlineLevel="0" collapsed="false">
      <c r="A42" s="20" t="s">
        <v>305</v>
      </c>
      <c r="B42" s="36" t="s">
        <v>306</v>
      </c>
      <c r="C42" s="36"/>
    </row>
    <row r="43" customFormat="false" ht="15" hidden="false" customHeight="false" outlineLevel="0" collapsed="false">
      <c r="A43" s="20" t="s">
        <v>307</v>
      </c>
      <c r="B43" s="31" t="n">
        <f aca="false">IF(Tax_Mode="Day one (no exemptions)",Tax_DayOne,IF(Tax_Mode="Seller's current bill",Tax_SellerBill,Tax_Reassessed))</f>
        <v>0</v>
      </c>
    </row>
    <row r="44" customFormat="false" ht="15" hidden="false" customHeight="false" outlineLevel="0" collapsed="false">
      <c r="A44" s="11" t="s">
        <v>308</v>
      </c>
      <c r="B44" s="24" t="n">
        <f aca="false">Tax_Level*Tax_Eq*Tax_Rate</f>
        <v>0</v>
      </c>
      <c r="C44" s="17" t="s">
        <v>309</v>
      </c>
    </row>
    <row r="45" customFormat="false" ht="15" hidden="false" customHeight="false" outlineLevel="0" collapsed="false">
      <c r="A45" s="11" t="s">
        <v>310</v>
      </c>
      <c r="B45" s="41" t="n">
        <f aca="false">IF(Tax_Mode="After reassessment at your price",1,0)</f>
        <v>1</v>
      </c>
    </row>
    <row r="47" customFormat="false" ht="54" hidden="false" customHeight="true" outlineLevel="0" collapsed="false">
      <c r="A47" s="28" t="s">
        <v>311</v>
      </c>
      <c r="B47" s="28"/>
      <c r="C47" s="28"/>
      <c r="D47" s="28"/>
      <c r="E47" s="28"/>
    </row>
    <row r="48" customFormat="false" ht="54" hidden="false" customHeight="true" outlineLevel="0" collapsed="false">
      <c r="A48" s="29" t="s">
        <v>312</v>
      </c>
      <c r="B48" s="29"/>
      <c r="C48" s="29"/>
      <c r="D48" s="29"/>
      <c r="E48" s="29"/>
    </row>
    <row r="49" customFormat="false" ht="21.75" hidden="false" customHeight="true" outlineLevel="0" collapsed="false">
      <c r="A49" s="29" t="s">
        <v>313</v>
      </c>
      <c r="B49" s="29"/>
      <c r="C49" s="29"/>
      <c r="D49" s="29"/>
      <c r="E49" s="29"/>
    </row>
  </sheetData>
  <mergeCells count="23">
    <mergeCell ref="B14:C14"/>
    <mergeCell ref="B15:C15"/>
    <mergeCell ref="B16:C16"/>
    <mergeCell ref="B17:C17"/>
    <mergeCell ref="B18:C18"/>
    <mergeCell ref="B19:C19"/>
    <mergeCell ref="B20:C20"/>
    <mergeCell ref="B21:C21"/>
    <mergeCell ref="B22:C22"/>
    <mergeCell ref="B23:C23"/>
    <mergeCell ref="A25:E25"/>
    <mergeCell ref="B28:E28"/>
    <mergeCell ref="C29:E29"/>
    <mergeCell ref="C30:E30"/>
    <mergeCell ref="C31:E31"/>
    <mergeCell ref="C32:E32"/>
    <mergeCell ref="C33:E33"/>
    <mergeCell ref="C34:E34"/>
    <mergeCell ref="C35:E35"/>
    <mergeCell ref="B42:C42"/>
    <mergeCell ref="A47:E47"/>
    <mergeCell ref="A48:E48"/>
    <mergeCell ref="A49:E49"/>
  </mergeCells>
  <conditionalFormatting sqref="D6:D10">
    <cfRule type="expression" priority="2" aboveAverage="0" equalAverage="0" bottom="0" percent="0" rank="0" text="" dxfId="0">
      <formula>LEFT(D6,8)="MISMATCH"</formula>
    </cfRule>
  </conditionalFormatting>
  <conditionalFormatting sqref="D14:D23">
    <cfRule type="cellIs" priority="3" operator="equal" aboveAverage="0" equalAverage="0" bottom="0" percent="0" rank="0" text="" dxfId="0">
      <formula>"Flag"</formula>
    </cfRule>
  </conditionalFormatting>
  <dataValidations count="2">
    <dataValidation allowBlank="true" errorStyle="stop" operator="between" showDropDown="false" showErrorMessage="false" showInputMessage="false" sqref="D14:D23" type="list">
      <formula1>"OK,Flag,Unknown"</formula1>
      <formula2>0</formula2>
    </dataValidation>
    <dataValidation allowBlank="true" errorStyle="stop" operator="between" showDropDown="false" showErrorMessage="false" showInputMessage="false" sqref="B42" type="list">
      <formula1>"After reassessment at your price,Day one (no exemptions),Seller's current bill"</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10"/>
    <col collapsed="false" customWidth="true" hidden="false" outlineLevel="0" max="5" min="4" style="0" width="11"/>
    <col collapsed="false" customWidth="true" hidden="false" outlineLevel="0" max="9" min="6" style="0" width="12"/>
    <col collapsed="false" customWidth="true" hidden="false" outlineLevel="0" max="10" min="10" style="0" width="9"/>
    <col collapsed="false" customWidth="true" hidden="false" outlineLevel="0" max="11" min="11" style="0" width="13"/>
    <col collapsed="false" customWidth="true" hidden="false" outlineLevel="0" max="12" min="12" style="0" width="11"/>
    <col collapsed="false" customWidth="true" hidden="false" outlineLevel="0" max="13" min="13" style="0" width="36"/>
  </cols>
  <sheetData>
    <row r="1" customFormat="false" ht="24" hidden="false" customHeight="true" outlineLevel="0" collapsed="false">
      <c r="A1" s="1" t="s">
        <v>314</v>
      </c>
    </row>
    <row r="2" customFormat="false" ht="15" hidden="false" customHeight="false" outlineLevel="0" collapsed="false">
      <c r="A2" s="2" t="s">
        <v>32</v>
      </c>
    </row>
    <row r="4" customFormat="false" ht="18" hidden="false" customHeight="true" outlineLevel="0" collapsed="false">
      <c r="A4" s="4" t="s">
        <v>315</v>
      </c>
      <c r="B4" s="5"/>
      <c r="C4" s="5"/>
      <c r="D4" s="5"/>
      <c r="E4" s="5"/>
      <c r="F4" s="5"/>
      <c r="G4" s="5"/>
      <c r="H4" s="5"/>
      <c r="I4" s="5"/>
      <c r="J4" s="5"/>
      <c r="K4" s="5"/>
      <c r="L4" s="5"/>
      <c r="M4" s="5"/>
    </row>
    <row r="5" customFormat="false" ht="27.75" hidden="false" customHeight="true" outlineLevel="0" collapsed="false">
      <c r="A5" s="7" t="s">
        <v>316</v>
      </c>
      <c r="B5" s="7" t="s">
        <v>317</v>
      </c>
      <c r="C5" s="7" t="s">
        <v>318</v>
      </c>
      <c r="D5" s="7"/>
      <c r="E5" s="7" t="s">
        <v>319</v>
      </c>
      <c r="F5" s="7" t="s">
        <v>320</v>
      </c>
      <c r="G5" s="7"/>
      <c r="H5" s="7"/>
      <c r="I5" s="7"/>
      <c r="J5" s="7"/>
      <c r="K5" s="7"/>
      <c r="L5" s="7"/>
      <c r="M5" s="7"/>
    </row>
    <row r="6" customFormat="false" ht="15" hidden="false" customHeight="false" outlineLevel="0" collapsed="false">
      <c r="A6" s="26" t="s">
        <v>321</v>
      </c>
      <c r="B6" s="16"/>
      <c r="C6" s="42"/>
      <c r="D6" s="42"/>
      <c r="E6" s="12" t="n">
        <f aca="false">IF(B6="Tenant",0,N(C6))</f>
        <v>0</v>
      </c>
      <c r="F6" s="36"/>
      <c r="G6" s="36"/>
      <c r="H6" s="36"/>
      <c r="I6" s="36"/>
      <c r="J6" s="36"/>
      <c r="K6" s="36"/>
      <c r="L6" s="36"/>
      <c r="M6" s="36"/>
    </row>
    <row r="7" customFormat="false" ht="15" hidden="false" customHeight="false" outlineLevel="0" collapsed="false">
      <c r="A7" s="26" t="s">
        <v>322</v>
      </c>
      <c r="B7" s="16"/>
      <c r="C7" s="42"/>
      <c r="D7" s="42"/>
      <c r="E7" s="12" t="n">
        <f aca="false">IF(B7="Tenant",0,N(C7))</f>
        <v>0</v>
      </c>
      <c r="F7" s="36"/>
      <c r="G7" s="36"/>
      <c r="H7" s="36"/>
      <c r="I7" s="36"/>
      <c r="J7" s="36"/>
      <c r="K7" s="36"/>
      <c r="L7" s="36"/>
      <c r="M7" s="36"/>
    </row>
    <row r="8" customFormat="false" ht="15" hidden="false" customHeight="false" outlineLevel="0" collapsed="false">
      <c r="A8" s="26" t="s">
        <v>323</v>
      </c>
      <c r="B8" s="16"/>
      <c r="C8" s="42"/>
      <c r="D8" s="42"/>
      <c r="E8" s="12" t="n">
        <f aca="false">IF(B8="Tenant",0,N(C8))</f>
        <v>0</v>
      </c>
      <c r="F8" s="36"/>
      <c r="G8" s="36"/>
      <c r="H8" s="36"/>
      <c r="I8" s="36"/>
      <c r="J8" s="36"/>
      <c r="K8" s="36"/>
      <c r="L8" s="36"/>
      <c r="M8" s="36"/>
    </row>
    <row r="9" customFormat="false" ht="15" hidden="false" customHeight="false" outlineLevel="0" collapsed="false">
      <c r="A9" s="26" t="s">
        <v>202</v>
      </c>
      <c r="B9" s="16"/>
      <c r="C9" s="42"/>
      <c r="D9" s="42"/>
      <c r="E9" s="12" t="n">
        <f aca="false">IF(B9="Tenant",0,N(C9))</f>
        <v>0</v>
      </c>
      <c r="F9" s="36"/>
      <c r="G9" s="36"/>
      <c r="H9" s="36"/>
      <c r="I9" s="36"/>
      <c r="J9" s="36"/>
      <c r="K9" s="36"/>
      <c r="L9" s="36"/>
      <c r="M9" s="36"/>
    </row>
    <row r="10" customFormat="false" ht="15" hidden="false" customHeight="false" outlineLevel="0" collapsed="false">
      <c r="A10" s="20" t="s">
        <v>324</v>
      </c>
      <c r="E10" s="31" t="n">
        <f aca="false">IFERROR(SUM(E6:E9)/Units,0)</f>
        <v>0</v>
      </c>
    </row>
    <row r="11" customFormat="false" ht="37.5" hidden="false" customHeight="true" outlineLevel="0" collapsed="false">
      <c r="A11" s="28" t="s">
        <v>325</v>
      </c>
      <c r="B11" s="28"/>
      <c r="C11" s="28"/>
      <c r="D11" s="28"/>
      <c r="E11" s="28"/>
      <c r="F11" s="28"/>
      <c r="G11" s="28"/>
      <c r="H11" s="28"/>
      <c r="I11" s="28"/>
      <c r="J11" s="28"/>
      <c r="K11" s="28"/>
      <c r="L11" s="28"/>
      <c r="M11" s="28"/>
    </row>
    <row r="13" customFormat="false" ht="18" hidden="false" customHeight="true" outlineLevel="0" collapsed="false">
      <c r="A13" s="4" t="s">
        <v>326</v>
      </c>
      <c r="B13" s="5"/>
      <c r="C13" s="5"/>
      <c r="D13" s="5"/>
      <c r="E13" s="5"/>
      <c r="F13" s="5"/>
      <c r="G13" s="5"/>
      <c r="H13" s="5"/>
      <c r="I13" s="5"/>
      <c r="J13" s="5"/>
      <c r="K13" s="5"/>
      <c r="L13" s="5"/>
      <c r="M13" s="5"/>
    </row>
    <row r="14" customFormat="false" ht="27.75" hidden="false" customHeight="true" outlineLevel="0" collapsed="false">
      <c r="A14" s="7" t="s">
        <v>327</v>
      </c>
      <c r="B14" s="7" t="s">
        <v>328</v>
      </c>
      <c r="C14" s="7" t="s">
        <v>329</v>
      </c>
      <c r="D14" s="7" t="s">
        <v>330</v>
      </c>
      <c r="E14" s="7" t="s">
        <v>331</v>
      </c>
      <c r="F14" s="7" t="s">
        <v>332</v>
      </c>
      <c r="G14" s="7" t="s">
        <v>333</v>
      </c>
      <c r="H14" s="7" t="s">
        <v>334</v>
      </c>
      <c r="I14" s="7" t="s">
        <v>335</v>
      </c>
      <c r="J14" s="7" t="s">
        <v>336</v>
      </c>
      <c r="K14" s="7" t="s">
        <v>156</v>
      </c>
      <c r="L14" s="7" t="s">
        <v>337</v>
      </c>
      <c r="M14" s="7" t="s">
        <v>105</v>
      </c>
    </row>
    <row r="15" customFormat="false" ht="15" hidden="false" customHeight="false" outlineLevel="0" collapsed="false">
      <c r="A15" s="16" t="s">
        <v>338</v>
      </c>
      <c r="B15" s="19"/>
      <c r="C15" s="18" t="n">
        <v>22</v>
      </c>
      <c r="D15" s="34" t="str">
        <f aca="false">IF(OR(B15="",C15=""),"",MAX(0,C15-(AnalysisYear-B15)))</f>
        <v/>
      </c>
      <c r="E15" s="16"/>
      <c r="F15" s="16"/>
      <c r="G15" s="10"/>
      <c r="H15" s="10"/>
      <c r="I15" s="12" t="str">
        <f aca="false">IF(AND(G15="",H15=""),"",(N(G15)+N(H15))/2)</f>
        <v/>
      </c>
      <c r="J15" s="16"/>
      <c r="K15" s="16"/>
      <c r="L15" s="16"/>
      <c r="M15" s="16"/>
    </row>
    <row r="16" customFormat="false" ht="15" hidden="false" customHeight="false" outlineLevel="0" collapsed="false">
      <c r="A16" s="16" t="s">
        <v>339</v>
      </c>
      <c r="B16" s="19"/>
      <c r="C16" s="18" t="n">
        <v>20</v>
      </c>
      <c r="D16" s="34" t="str">
        <f aca="false">IF(OR(B16="",C16=""),"",MAX(0,C16-(AnalysisYear-B16)))</f>
        <v/>
      </c>
      <c r="E16" s="16"/>
      <c r="F16" s="16"/>
      <c r="G16" s="10"/>
      <c r="H16" s="10"/>
      <c r="I16" s="12" t="str">
        <f aca="false">IF(AND(G16="",H16=""),"",(N(G16)+N(H16))/2)</f>
        <v/>
      </c>
      <c r="J16" s="16"/>
      <c r="K16" s="16"/>
      <c r="L16" s="16"/>
      <c r="M16" s="16"/>
    </row>
    <row r="17" customFormat="false" ht="15" hidden="false" customHeight="false" outlineLevel="0" collapsed="false">
      <c r="A17" s="16" t="s">
        <v>340</v>
      </c>
      <c r="B17" s="19"/>
      <c r="C17" s="18" t="n">
        <v>10</v>
      </c>
      <c r="D17" s="34" t="str">
        <f aca="false">IF(OR(B17="",C17=""),"",MAX(0,C17-(AnalysisYear-B17)))</f>
        <v/>
      </c>
      <c r="E17" s="16"/>
      <c r="F17" s="16"/>
      <c r="G17" s="10"/>
      <c r="H17" s="10"/>
      <c r="I17" s="12" t="str">
        <f aca="false">IF(AND(G17="",H17=""),"",(N(G17)+N(H17))/2)</f>
        <v/>
      </c>
      <c r="J17" s="16"/>
      <c r="K17" s="16"/>
      <c r="L17" s="16"/>
      <c r="M17" s="16"/>
    </row>
    <row r="18" customFormat="false" ht="15" hidden="false" customHeight="false" outlineLevel="0" collapsed="false">
      <c r="A18" s="16" t="s">
        <v>341</v>
      </c>
      <c r="B18" s="19"/>
      <c r="C18" s="18" t="n">
        <v>40</v>
      </c>
      <c r="D18" s="34" t="str">
        <f aca="false">IF(OR(B18="",C18=""),"",MAX(0,C18-(AnalysisYear-B18)))</f>
        <v/>
      </c>
      <c r="E18" s="16"/>
      <c r="F18" s="16"/>
      <c r="G18" s="10"/>
      <c r="H18" s="10"/>
      <c r="I18" s="12" t="str">
        <f aca="false">IF(AND(G18="",H18=""),"",(N(G18)+N(H18))/2)</f>
        <v/>
      </c>
      <c r="J18" s="16"/>
      <c r="K18" s="16"/>
      <c r="L18" s="16"/>
      <c r="M18" s="16"/>
    </row>
    <row r="19" customFormat="false" ht="15" hidden="false" customHeight="false" outlineLevel="0" collapsed="false">
      <c r="A19" s="16" t="s">
        <v>342</v>
      </c>
      <c r="B19" s="19"/>
      <c r="C19" s="18" t="n">
        <v>10</v>
      </c>
      <c r="D19" s="34" t="str">
        <f aca="false">IF(OR(B19="",C19=""),"",MAX(0,C19-(AnalysisYear-B19)))</f>
        <v/>
      </c>
      <c r="E19" s="16"/>
      <c r="F19" s="16"/>
      <c r="G19" s="10"/>
      <c r="H19" s="10"/>
      <c r="I19" s="12" t="str">
        <f aca="false">IF(AND(G19="",H19=""),"",(N(G19)+N(H19))/2)</f>
        <v/>
      </c>
      <c r="J19" s="16"/>
      <c r="K19" s="16"/>
      <c r="L19" s="16"/>
      <c r="M19" s="16"/>
    </row>
    <row r="20" customFormat="false" ht="15" hidden="false" customHeight="false" outlineLevel="0" collapsed="false">
      <c r="A20" s="16" t="s">
        <v>343</v>
      </c>
      <c r="B20" s="19"/>
      <c r="C20" s="18" t="n">
        <v>22</v>
      </c>
      <c r="D20" s="34" t="str">
        <f aca="false">IF(OR(B20="",C20=""),"",MAX(0,C20-(AnalysisYear-B20)))</f>
        <v/>
      </c>
      <c r="E20" s="16"/>
      <c r="F20" s="16"/>
      <c r="G20" s="10"/>
      <c r="H20" s="10"/>
      <c r="I20" s="12" t="str">
        <f aca="false">IF(AND(G20="",H20=""),"",(N(G20)+N(H20))/2)</f>
        <v/>
      </c>
      <c r="J20" s="16"/>
      <c r="K20" s="16"/>
      <c r="L20" s="16"/>
      <c r="M20" s="16"/>
    </row>
    <row r="21" customFormat="false" ht="15" hidden="false" customHeight="false" outlineLevel="0" collapsed="false">
      <c r="A21" s="16" t="s">
        <v>344</v>
      </c>
      <c r="B21" s="19"/>
      <c r="C21" s="18" t="n">
        <v>30</v>
      </c>
      <c r="D21" s="34" t="str">
        <f aca="false">IF(OR(B21="",C21=""),"",MAX(0,C21-(AnalysisYear-B21)))</f>
        <v/>
      </c>
      <c r="E21" s="16"/>
      <c r="F21" s="16"/>
      <c r="G21" s="10"/>
      <c r="H21" s="10"/>
      <c r="I21" s="12" t="str">
        <f aca="false">IF(AND(G21="",H21=""),"",(N(G21)+N(H21))/2)</f>
        <v/>
      </c>
      <c r="J21" s="16"/>
      <c r="K21" s="16"/>
      <c r="L21" s="16"/>
      <c r="M21" s="16"/>
    </row>
    <row r="22" customFormat="false" ht="15" hidden="false" customHeight="false" outlineLevel="0" collapsed="false">
      <c r="A22" s="16" t="s">
        <v>345</v>
      </c>
      <c r="B22" s="19"/>
      <c r="C22" s="18" t="n">
        <v>25</v>
      </c>
      <c r="D22" s="34" t="str">
        <f aca="false">IF(OR(B22="",C22=""),"",MAX(0,C22-(AnalysisYear-B22)))</f>
        <v/>
      </c>
      <c r="E22" s="16"/>
      <c r="F22" s="16"/>
      <c r="G22" s="10"/>
      <c r="H22" s="10"/>
      <c r="I22" s="12" t="str">
        <f aca="false">IF(AND(G22="",H22=""),"",(N(G22)+N(H22))/2)</f>
        <v/>
      </c>
      <c r="J22" s="16"/>
      <c r="K22" s="16"/>
      <c r="L22" s="16"/>
      <c r="M22" s="16"/>
    </row>
    <row r="23" customFormat="false" ht="15" hidden="false" customHeight="false" outlineLevel="0" collapsed="false">
      <c r="A23" s="16" t="s">
        <v>346</v>
      </c>
      <c r="B23" s="19"/>
      <c r="C23" s="18" t="n">
        <v>80</v>
      </c>
      <c r="D23" s="34" t="str">
        <f aca="false">IF(OR(B23="",C23=""),"",MAX(0,C23-(AnalysisYear-B23)))</f>
        <v/>
      </c>
      <c r="E23" s="16"/>
      <c r="F23" s="16"/>
      <c r="G23" s="10"/>
      <c r="H23" s="10"/>
      <c r="I23" s="12" t="str">
        <f aca="false">IF(AND(G23="",H23=""),"",(N(G23)+N(H23))/2)</f>
        <v/>
      </c>
      <c r="J23" s="16"/>
      <c r="K23" s="16"/>
      <c r="L23" s="16"/>
      <c r="M23" s="16"/>
    </row>
    <row r="24" customFormat="false" ht="15" hidden="false" customHeight="false" outlineLevel="0" collapsed="false">
      <c r="A24" s="16" t="s">
        <v>347</v>
      </c>
      <c r="B24" s="19"/>
      <c r="C24" s="18" t="n">
        <v>70</v>
      </c>
      <c r="D24" s="34" t="str">
        <f aca="false">IF(OR(B24="",C24=""),"",MAX(0,C24-(AnalysisYear-B24)))</f>
        <v/>
      </c>
      <c r="E24" s="16"/>
      <c r="F24" s="16"/>
      <c r="G24" s="10"/>
      <c r="H24" s="10"/>
      <c r="I24" s="12" t="str">
        <f aca="false">IF(AND(G24="",H24=""),"",(N(G24)+N(H24))/2)</f>
        <v/>
      </c>
      <c r="J24" s="16"/>
      <c r="K24" s="16"/>
      <c r="L24" s="16"/>
      <c r="M24" s="16"/>
    </row>
    <row r="25" customFormat="false" ht="15" hidden="false" customHeight="false" outlineLevel="0" collapsed="false">
      <c r="A25" s="16" t="s">
        <v>348</v>
      </c>
      <c r="B25" s="19"/>
      <c r="C25" s="18" t="n">
        <v>20</v>
      </c>
      <c r="D25" s="34" t="str">
        <f aca="false">IF(OR(B25="",C25=""),"",MAX(0,C25-(AnalysisYear-B25)))</f>
        <v/>
      </c>
      <c r="E25" s="16"/>
      <c r="F25" s="16"/>
      <c r="G25" s="10"/>
      <c r="H25" s="10"/>
      <c r="I25" s="12" t="str">
        <f aca="false">IF(AND(G25="",H25=""),"",(N(G25)+N(H25))/2)</f>
        <v/>
      </c>
      <c r="J25" s="16"/>
      <c r="K25" s="16"/>
      <c r="L25" s="16"/>
      <c r="M25" s="16"/>
    </row>
    <row r="26" customFormat="false" ht="15" hidden="false" customHeight="false" outlineLevel="0" collapsed="false">
      <c r="A26" s="16"/>
      <c r="B26" s="16"/>
      <c r="C26" s="16"/>
      <c r="D26" s="34" t="str">
        <f aca="false">IF(OR(B26="",C26=""),"",MAX(0,C26-(AnalysisYear-B26)))</f>
        <v/>
      </c>
      <c r="E26" s="16"/>
      <c r="F26" s="16"/>
      <c r="G26" s="10"/>
      <c r="H26" s="10"/>
      <c r="I26" s="12" t="str">
        <f aca="false">IF(AND(G26="",H26=""),"",(N(G26)+N(H26))/2)</f>
        <v/>
      </c>
      <c r="J26" s="16"/>
      <c r="K26" s="16"/>
      <c r="L26" s="16"/>
      <c r="M26" s="16"/>
    </row>
    <row r="27" customFormat="false" ht="15" hidden="false" customHeight="false" outlineLevel="0" collapsed="false">
      <c r="A27" s="16"/>
      <c r="B27" s="16"/>
      <c r="C27" s="16"/>
      <c r="D27" s="34" t="str">
        <f aca="false">IF(OR(B27="",C27=""),"",MAX(0,C27-(AnalysisYear-B27)))</f>
        <v/>
      </c>
      <c r="E27" s="16"/>
      <c r="F27" s="16"/>
      <c r="G27" s="10"/>
      <c r="H27" s="10"/>
      <c r="I27" s="12" t="str">
        <f aca="false">IF(AND(G27="",H27=""),"",(N(G27)+N(H27))/2)</f>
        <v/>
      </c>
      <c r="J27" s="16"/>
      <c r="K27" s="16"/>
      <c r="L27" s="16"/>
      <c r="M27" s="16"/>
    </row>
    <row r="28" customFormat="false" ht="15" hidden="false" customHeight="false" outlineLevel="0" collapsed="false">
      <c r="A28" s="16"/>
      <c r="B28" s="16"/>
      <c r="C28" s="16"/>
      <c r="D28" s="34" t="str">
        <f aca="false">IF(OR(B28="",C28=""),"",MAX(0,C28-(AnalysisYear-B28)))</f>
        <v/>
      </c>
      <c r="E28" s="16"/>
      <c r="F28" s="16"/>
      <c r="G28" s="10"/>
      <c r="H28" s="10"/>
      <c r="I28" s="12" t="str">
        <f aca="false">IF(AND(G28="",H28=""),"",(N(G28)+N(H28))/2)</f>
        <v/>
      </c>
      <c r="J28" s="16"/>
      <c r="K28" s="16"/>
      <c r="L28" s="16"/>
      <c r="M28" s="16"/>
    </row>
    <row r="29" customFormat="false" ht="15" hidden="false" customHeight="false" outlineLevel="0" collapsed="false">
      <c r="A29" s="20" t="s">
        <v>349</v>
      </c>
      <c r="I29" s="31" t="n">
        <f aca="false">SUMIFS($I$15:$I$28,$F$15:$F$28,"Now",$J$15:$J$28,"Yes")</f>
        <v>0</v>
      </c>
      <c r="K29" s="17" t="s">
        <v>350</v>
      </c>
    </row>
    <row r="30" customFormat="false" ht="15" hidden="false" customHeight="false" outlineLevel="0" collapsed="false">
      <c r="A30" s="20" t="s">
        <v>351</v>
      </c>
      <c r="I30" s="31" t="n">
        <f aca="false">SUMIFS($I$15:$I$28,$F$15:$F$28,"1-2 years",$J$15:$J$28,"Yes")</f>
        <v>0</v>
      </c>
      <c r="K30" s="17" t="s">
        <v>352</v>
      </c>
    </row>
    <row r="31" customFormat="false" ht="15" hidden="false" customHeight="false" outlineLevel="0" collapsed="false">
      <c r="A31" s="20" t="s">
        <v>353</v>
      </c>
      <c r="I31" s="31" t="n">
        <f aca="false">SUMIFS($I$15:$I$28,$L$15:$L$28,"Yes",$J$15:$J$28,"Yes")</f>
        <v>0</v>
      </c>
      <c r="K31" s="17" t="s">
        <v>354</v>
      </c>
    </row>
    <row r="33" customFormat="false" ht="54" hidden="false" customHeight="true" outlineLevel="0" collapsed="false">
      <c r="A33" s="28" t="s">
        <v>355</v>
      </c>
      <c r="B33" s="28"/>
      <c r="C33" s="28"/>
      <c r="D33" s="28"/>
      <c r="E33" s="28"/>
      <c r="F33" s="28"/>
      <c r="G33" s="28"/>
      <c r="H33" s="28"/>
      <c r="I33" s="28"/>
      <c r="J33" s="28"/>
      <c r="K33" s="28"/>
      <c r="L33" s="28"/>
      <c r="M33" s="28"/>
    </row>
    <row r="35" customFormat="false" ht="18" hidden="false" customHeight="true" outlineLevel="0" collapsed="false">
      <c r="A35" s="4" t="s">
        <v>356</v>
      </c>
      <c r="B35" s="5"/>
      <c r="C35" s="5"/>
      <c r="D35" s="5"/>
      <c r="E35" s="5"/>
      <c r="F35" s="5"/>
      <c r="G35" s="5"/>
      <c r="H35" s="5"/>
      <c r="I35" s="5"/>
      <c r="J35" s="5"/>
      <c r="K35" s="5"/>
      <c r="L35" s="5"/>
      <c r="M35" s="5"/>
    </row>
    <row r="36" customFormat="false" ht="27.75" hidden="false" customHeight="true" outlineLevel="0" collapsed="false">
      <c r="A36" s="7" t="s">
        <v>255</v>
      </c>
      <c r="B36" s="7" t="s">
        <v>357</v>
      </c>
      <c r="C36" s="7" t="s">
        <v>103</v>
      </c>
      <c r="D36" s="7"/>
      <c r="E36" s="7"/>
      <c r="F36" s="7" t="s">
        <v>105</v>
      </c>
      <c r="G36" s="7"/>
      <c r="H36" s="7"/>
      <c r="I36" s="7"/>
      <c r="J36" s="7"/>
      <c r="K36" s="7"/>
      <c r="L36" s="7"/>
      <c r="M36" s="7"/>
    </row>
    <row r="37" customFormat="false" ht="15" hidden="false" customHeight="false" outlineLevel="0" collapsed="false">
      <c r="A37" s="26" t="s">
        <v>358</v>
      </c>
      <c r="B37" s="27" t="s">
        <v>359</v>
      </c>
      <c r="C37" s="36" t="s">
        <v>360</v>
      </c>
      <c r="D37" s="36"/>
      <c r="E37" s="36"/>
      <c r="F37" s="36"/>
      <c r="G37" s="36"/>
      <c r="H37" s="36"/>
      <c r="I37" s="36"/>
      <c r="J37" s="36"/>
      <c r="K37" s="36"/>
      <c r="L37" s="36"/>
      <c r="M37" s="36"/>
    </row>
    <row r="38" customFormat="false" ht="15" hidden="false" customHeight="false" outlineLevel="0" collapsed="false">
      <c r="A38" s="26" t="s">
        <v>361</v>
      </c>
      <c r="B38" s="27" t="s">
        <v>359</v>
      </c>
      <c r="C38" s="36" t="s">
        <v>360</v>
      </c>
      <c r="D38" s="36"/>
      <c r="E38" s="36"/>
      <c r="F38" s="36"/>
      <c r="G38" s="36"/>
      <c r="H38" s="36"/>
      <c r="I38" s="36"/>
      <c r="J38" s="36"/>
      <c r="K38" s="36"/>
      <c r="L38" s="36"/>
      <c r="M38" s="36"/>
    </row>
    <row r="39" customFormat="false" ht="15" hidden="false" customHeight="false" outlineLevel="0" collapsed="false">
      <c r="A39" s="26" t="s">
        <v>362</v>
      </c>
      <c r="B39" s="27" t="s">
        <v>359</v>
      </c>
      <c r="C39" s="36" t="s">
        <v>360</v>
      </c>
      <c r="D39" s="36"/>
      <c r="E39" s="36"/>
      <c r="F39" s="36"/>
      <c r="G39" s="36"/>
      <c r="H39" s="36"/>
      <c r="I39" s="36"/>
      <c r="J39" s="36"/>
      <c r="K39" s="36"/>
      <c r="L39" s="36"/>
      <c r="M39" s="36"/>
    </row>
    <row r="40" customFormat="false" ht="15" hidden="false" customHeight="false" outlineLevel="0" collapsed="false">
      <c r="A40" s="26" t="s">
        <v>363</v>
      </c>
      <c r="B40" s="27" t="s">
        <v>364</v>
      </c>
      <c r="C40" s="36" t="s">
        <v>360</v>
      </c>
      <c r="D40" s="36"/>
      <c r="E40" s="36"/>
      <c r="F40" s="36"/>
      <c r="G40" s="36"/>
      <c r="H40" s="36"/>
      <c r="I40" s="36"/>
      <c r="J40" s="36"/>
      <c r="K40" s="36"/>
      <c r="L40" s="36"/>
      <c r="M40" s="36"/>
    </row>
    <row r="41" customFormat="false" ht="15" hidden="false" customHeight="false" outlineLevel="0" collapsed="false">
      <c r="A41" s="26" t="s">
        <v>125</v>
      </c>
      <c r="B41" s="27" t="s">
        <v>364</v>
      </c>
      <c r="C41" s="36" t="s">
        <v>360</v>
      </c>
      <c r="D41" s="36"/>
      <c r="E41" s="36"/>
      <c r="F41" s="36"/>
      <c r="G41" s="36"/>
      <c r="H41" s="36"/>
      <c r="I41" s="36"/>
      <c r="J41" s="36"/>
      <c r="K41" s="36"/>
      <c r="L41" s="36"/>
      <c r="M41" s="36"/>
    </row>
    <row r="42" customFormat="false" ht="15" hidden="false" customHeight="false" outlineLevel="0" collapsed="false">
      <c r="A42" s="26" t="s">
        <v>365</v>
      </c>
      <c r="B42" s="27" t="s">
        <v>364</v>
      </c>
      <c r="C42" s="36" t="s">
        <v>360</v>
      </c>
      <c r="D42" s="36"/>
      <c r="E42" s="36"/>
      <c r="F42" s="36" t="s">
        <v>366</v>
      </c>
      <c r="G42" s="36"/>
      <c r="H42" s="36"/>
      <c r="I42" s="36"/>
      <c r="J42" s="36"/>
      <c r="K42" s="36"/>
      <c r="L42" s="36"/>
      <c r="M42" s="36"/>
    </row>
    <row r="43" customFormat="false" ht="15" hidden="false" customHeight="false" outlineLevel="0" collapsed="false">
      <c r="A43" s="26" t="s">
        <v>367</v>
      </c>
      <c r="B43" s="27" t="s">
        <v>364</v>
      </c>
      <c r="C43" s="36" t="s">
        <v>360</v>
      </c>
      <c r="D43" s="36"/>
      <c r="E43" s="36"/>
      <c r="F43" s="36"/>
      <c r="G43" s="36"/>
      <c r="H43" s="36"/>
      <c r="I43" s="36"/>
      <c r="J43" s="36"/>
      <c r="K43" s="36"/>
      <c r="L43" s="36"/>
      <c r="M43" s="36"/>
    </row>
    <row r="44" customFormat="false" ht="15" hidden="false" customHeight="false" outlineLevel="0" collapsed="false">
      <c r="A44" s="26" t="s">
        <v>118</v>
      </c>
      <c r="B44" s="27" t="s">
        <v>364</v>
      </c>
      <c r="C44" s="36" t="s">
        <v>360</v>
      </c>
      <c r="D44" s="36"/>
      <c r="E44" s="36"/>
      <c r="F44" s="36"/>
      <c r="G44" s="36"/>
      <c r="H44" s="36"/>
      <c r="I44" s="36"/>
      <c r="J44" s="36"/>
      <c r="K44" s="36"/>
      <c r="L44" s="36"/>
      <c r="M44" s="36"/>
    </row>
    <row r="45" customFormat="false" ht="15" hidden="false" customHeight="false" outlineLevel="0" collapsed="false">
      <c r="A45" s="26" t="s">
        <v>368</v>
      </c>
      <c r="B45" s="27" t="s">
        <v>364</v>
      </c>
      <c r="C45" s="36" t="s">
        <v>360</v>
      </c>
      <c r="D45" s="36"/>
      <c r="E45" s="36"/>
      <c r="F45" s="36"/>
      <c r="G45" s="36"/>
      <c r="H45" s="36"/>
      <c r="I45" s="36"/>
      <c r="J45" s="36"/>
      <c r="K45" s="36"/>
      <c r="L45" s="36"/>
      <c r="M45" s="36"/>
    </row>
    <row r="46" customFormat="false" ht="15" hidden="false" customHeight="false" outlineLevel="0" collapsed="false">
      <c r="A46" s="26" t="s">
        <v>369</v>
      </c>
      <c r="B46" s="27" t="s">
        <v>370</v>
      </c>
      <c r="C46" s="36" t="s">
        <v>360</v>
      </c>
      <c r="D46" s="36"/>
      <c r="E46" s="36"/>
      <c r="F46" s="36"/>
      <c r="G46" s="36"/>
      <c r="H46" s="36"/>
      <c r="I46" s="36"/>
      <c r="J46" s="36"/>
      <c r="K46" s="36"/>
      <c r="L46" s="36"/>
      <c r="M46" s="36"/>
    </row>
    <row r="47" customFormat="false" ht="15" hidden="false" customHeight="false" outlineLevel="0" collapsed="false">
      <c r="A47" s="26" t="s">
        <v>338</v>
      </c>
      <c r="B47" s="27" t="s">
        <v>370</v>
      </c>
      <c r="C47" s="36" t="s">
        <v>360</v>
      </c>
      <c r="D47" s="36"/>
      <c r="E47" s="36"/>
      <c r="F47" s="36"/>
      <c r="G47" s="36"/>
      <c r="H47" s="36"/>
      <c r="I47" s="36"/>
      <c r="J47" s="36"/>
      <c r="K47" s="36"/>
      <c r="L47" s="36"/>
      <c r="M47" s="36"/>
    </row>
    <row r="48" customFormat="false" ht="15" hidden="false" customHeight="false" outlineLevel="0" collapsed="false">
      <c r="A48" s="26" t="s">
        <v>371</v>
      </c>
      <c r="B48" s="27" t="s">
        <v>370</v>
      </c>
      <c r="C48" s="36" t="s">
        <v>360</v>
      </c>
      <c r="D48" s="36"/>
      <c r="E48" s="36"/>
      <c r="F48" s="36"/>
      <c r="G48" s="36"/>
      <c r="H48" s="36"/>
      <c r="I48" s="36"/>
      <c r="J48" s="36"/>
      <c r="K48" s="36"/>
      <c r="L48" s="36"/>
      <c r="M48" s="36"/>
    </row>
    <row r="49" customFormat="false" ht="15" hidden="false" customHeight="false" outlineLevel="0" collapsed="false">
      <c r="A49" s="26" t="s">
        <v>372</v>
      </c>
      <c r="B49" s="27" t="s">
        <v>370</v>
      </c>
      <c r="C49" s="36" t="s">
        <v>360</v>
      </c>
      <c r="D49" s="36"/>
      <c r="E49" s="36"/>
      <c r="F49" s="36"/>
      <c r="G49" s="36"/>
      <c r="H49" s="36"/>
      <c r="I49" s="36"/>
      <c r="J49" s="36"/>
      <c r="K49" s="36"/>
      <c r="L49" s="36"/>
      <c r="M49" s="36"/>
    </row>
    <row r="50" customFormat="false" ht="15" hidden="false" customHeight="false" outlineLevel="0" collapsed="false">
      <c r="A50" s="26" t="s">
        <v>373</v>
      </c>
      <c r="B50" s="27" t="s">
        <v>370</v>
      </c>
      <c r="C50" s="36" t="s">
        <v>360</v>
      </c>
      <c r="D50" s="36"/>
      <c r="E50" s="36"/>
      <c r="F50" s="36"/>
      <c r="G50" s="36"/>
      <c r="H50" s="36"/>
      <c r="I50" s="36"/>
      <c r="J50" s="36"/>
      <c r="K50" s="36"/>
      <c r="L50" s="36"/>
      <c r="M50" s="36"/>
    </row>
    <row r="51" customFormat="false" ht="15" hidden="false" customHeight="false" outlineLevel="0" collapsed="false">
      <c r="A51" s="26" t="s">
        <v>374</v>
      </c>
      <c r="B51" s="27" t="s">
        <v>370</v>
      </c>
      <c r="C51" s="36" t="s">
        <v>360</v>
      </c>
      <c r="D51" s="36"/>
      <c r="E51" s="36"/>
      <c r="F51" s="36"/>
      <c r="G51" s="36"/>
      <c r="H51" s="36"/>
      <c r="I51" s="36"/>
      <c r="J51" s="36"/>
      <c r="K51" s="36"/>
      <c r="L51" s="36"/>
      <c r="M51" s="36"/>
    </row>
    <row r="52" customFormat="false" ht="15" hidden="false" customHeight="false" outlineLevel="0" collapsed="false">
      <c r="A52" s="26" t="s">
        <v>375</v>
      </c>
      <c r="B52" s="27" t="s">
        <v>370</v>
      </c>
      <c r="C52" s="36" t="s">
        <v>360</v>
      </c>
      <c r="D52" s="36"/>
      <c r="E52" s="36"/>
      <c r="F52" s="36"/>
      <c r="G52" s="36"/>
      <c r="H52" s="36"/>
      <c r="I52" s="36"/>
      <c r="J52" s="36"/>
      <c r="K52" s="36"/>
      <c r="L52" s="36"/>
      <c r="M52" s="36"/>
    </row>
    <row r="53" customFormat="false" ht="15" hidden="false" customHeight="false" outlineLevel="0" collapsed="false">
      <c r="A53" s="20" t="s">
        <v>376</v>
      </c>
      <c r="C53" s="43" t="n">
        <f aca="false">COUNTIF(C37:C52,"Not started")+COUNTIF(C37:C52,"Requested")</f>
        <v>16</v>
      </c>
    </row>
    <row r="54" customFormat="false" ht="15" hidden="false" customHeight="false" outlineLevel="0" collapsed="false">
      <c r="A54" s="20" t="s">
        <v>377</v>
      </c>
      <c r="C54" s="43" t="n">
        <f aca="false">COUNTIF(C37:C52,"Issue found")</f>
        <v>0</v>
      </c>
    </row>
  </sheetData>
  <mergeCells count="46">
    <mergeCell ref="C5:D5"/>
    <mergeCell ref="F5:M5"/>
    <mergeCell ref="C6:D6"/>
    <mergeCell ref="F6:M6"/>
    <mergeCell ref="C7:D7"/>
    <mergeCell ref="F7:M7"/>
    <mergeCell ref="C8:D8"/>
    <mergeCell ref="F8:M8"/>
    <mergeCell ref="C9:D9"/>
    <mergeCell ref="F9:M9"/>
    <mergeCell ref="A11:M11"/>
    <mergeCell ref="A33:M33"/>
    <mergeCell ref="C36:E36"/>
    <mergeCell ref="F36:M36"/>
    <mergeCell ref="C37:E37"/>
    <mergeCell ref="F37:M37"/>
    <mergeCell ref="C38:E38"/>
    <mergeCell ref="F38:M38"/>
    <mergeCell ref="C39:E39"/>
    <mergeCell ref="F39:M39"/>
    <mergeCell ref="C40:E40"/>
    <mergeCell ref="F40:M40"/>
    <mergeCell ref="C41:E41"/>
    <mergeCell ref="F41:M41"/>
    <mergeCell ref="C42:E42"/>
    <mergeCell ref="F42:M42"/>
    <mergeCell ref="C43:E43"/>
    <mergeCell ref="F43:M43"/>
    <mergeCell ref="C44:E44"/>
    <mergeCell ref="F44:M44"/>
    <mergeCell ref="C45:E45"/>
    <mergeCell ref="F45:M45"/>
    <mergeCell ref="C46:E46"/>
    <mergeCell ref="F46:M46"/>
    <mergeCell ref="C47:E47"/>
    <mergeCell ref="F47:M47"/>
    <mergeCell ref="C48:E48"/>
    <mergeCell ref="F48:M48"/>
    <mergeCell ref="C49:E49"/>
    <mergeCell ref="F49:M49"/>
    <mergeCell ref="C50:E50"/>
    <mergeCell ref="F50:M50"/>
    <mergeCell ref="C51:E51"/>
    <mergeCell ref="F51:M51"/>
    <mergeCell ref="C52:E52"/>
    <mergeCell ref="F52:M52"/>
  </mergeCells>
  <conditionalFormatting sqref="D15:D28">
    <cfRule type="cellIs" priority="2" operator="lessThanOrEqual" aboveAverage="0" equalAverage="0" bottom="0" percent="0" rank="0" text="" dxfId="0">
      <formula>2</formula>
    </cfRule>
  </conditionalFormatting>
  <conditionalFormatting sqref="C37:C52">
    <cfRule type="cellIs" priority="3" operator="equal" aboveAverage="0" equalAverage="0" bottom="0" percent="0" rank="0" text="" dxfId="0">
      <formula>"Issue found"</formula>
    </cfRule>
  </conditionalFormatting>
  <dataValidations count="7">
    <dataValidation allowBlank="true" errorStyle="stop" operator="between" showDropDown="false" showErrorMessage="false" showInputMessage="false" sqref="B6:B9" type="list">
      <formula1>"Owner,Tenant,Shared"</formula1>
      <formula2>0</formula2>
    </dataValidation>
    <dataValidation allowBlank="true" errorStyle="stop" operator="between" showDropDown="false" showErrorMessage="false" showInputMessage="false" sqref="E15:E28" type="list">
      <formula1>"Good,Fair,Poor,Unknown"</formula1>
      <formula2>0</formula2>
    </dataValidation>
    <dataValidation allowBlank="true" errorStyle="stop" operator="between" showDropDown="false" showErrorMessage="false" showInputMessage="false" sqref="F15:F28" type="list">
      <formula1>"Now,1-2 years,Reserve"</formula1>
      <formula2>0</formula2>
    </dataValidation>
    <dataValidation allowBlank="true" errorStyle="stop" operator="between" showDropDown="false" showErrorMessage="false" showInputMessage="false" sqref="J15:J28" type="list">
      <formula1>"Yes,No"</formula1>
      <formula2>0</formula2>
    </dataValidation>
    <dataValidation allowBlank="true" errorStyle="stop" operator="between" showDropDown="false" showErrorMessage="false" showInputMessage="false" sqref="L15:L28" type="list">
      <formula1>"Yes,No"</formula1>
      <formula2>0</formula2>
    </dataValidation>
    <dataValidation allowBlank="true" errorStyle="stop" operator="between" showDropDown="false" showErrorMessage="false" showInputMessage="false" sqref="K15:K28" type="list">
      <formula1>"Listing,Photos,Inspection,County / permits,Your estimate"</formula1>
      <formula2>0</formula2>
    </dataValidation>
    <dataValidation allowBlank="true" errorStyle="stop" operator="between" showDropDown="false" showErrorMessage="false" showInputMessage="false" sqref="C37:C52" type="list">
      <formula1>"Not started,Requested,Done,Issue found"</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3" min="2" style="0" width="14"/>
    <col collapsed="false" customWidth="true" hidden="false" outlineLevel="0" max="5" min="4" style="0" width="13"/>
    <col collapsed="false" customWidth="true" hidden="false" outlineLevel="0" max="6" min="6" style="0" width="12"/>
    <col collapsed="false" customWidth="true" hidden="false" outlineLevel="0" max="7" min="7" style="0" width="13"/>
    <col collapsed="false" customWidth="true" hidden="false" outlineLevel="0" max="9" min="8" style="0" width="12"/>
    <col collapsed="false" customWidth="true" hidden="false" outlineLevel="0" max="10" min="10" style="0" width="50"/>
  </cols>
  <sheetData>
    <row r="1" customFormat="false" ht="24" hidden="false" customHeight="true" outlineLevel="0" collapsed="false">
      <c r="A1" s="1" t="s">
        <v>378</v>
      </c>
    </row>
    <row r="2" customFormat="false" ht="15" hidden="false" customHeight="false" outlineLevel="0" collapsed="false">
      <c r="A2" s="2" t="s">
        <v>36</v>
      </c>
    </row>
    <row r="4" customFormat="false" ht="18" hidden="false" customHeight="true" outlineLevel="0" collapsed="false">
      <c r="A4" s="4" t="s">
        <v>379</v>
      </c>
      <c r="B4" s="5"/>
      <c r="C4" s="5"/>
      <c r="D4" s="5"/>
      <c r="E4" s="5"/>
      <c r="F4" s="5"/>
      <c r="G4" s="5"/>
      <c r="H4" s="5"/>
      <c r="I4" s="5"/>
      <c r="J4" s="5"/>
    </row>
    <row r="5" customFormat="false" ht="27.75" hidden="false" customHeight="true" outlineLevel="0" collapsed="false">
      <c r="A5" s="7" t="s">
        <v>380</v>
      </c>
      <c r="B5" s="7" t="s">
        <v>381</v>
      </c>
      <c r="C5" s="7" t="s">
        <v>382</v>
      </c>
      <c r="D5" s="7" t="s">
        <v>383</v>
      </c>
      <c r="E5" s="7" t="s">
        <v>384</v>
      </c>
      <c r="F5" s="7" t="s">
        <v>385</v>
      </c>
      <c r="G5" s="7"/>
      <c r="H5" s="7"/>
      <c r="I5" s="7"/>
      <c r="J5" s="7" t="s">
        <v>386</v>
      </c>
    </row>
    <row r="6" customFormat="false" ht="15" hidden="false" customHeight="false" outlineLevel="0" collapsed="false">
      <c r="A6" s="44" t="s">
        <v>387</v>
      </c>
      <c r="B6" s="12" t="n">
        <f aca="false">Price</f>
        <v>0</v>
      </c>
      <c r="C6" s="12" t="n">
        <f aca="false">Price</f>
        <v>0</v>
      </c>
      <c r="J6" s="17"/>
    </row>
    <row r="7" customFormat="false" ht="15" hidden="false" customHeight="false" outlineLevel="0" collapsed="false">
      <c r="A7" s="44" t="s">
        <v>388</v>
      </c>
      <c r="B7" s="12" t="n">
        <f aca="false">IFERROR(Price/Units,0)</f>
        <v>0</v>
      </c>
      <c r="C7" s="12" t="n">
        <f aca="false">IFERROR(Price/Units,0)</f>
        <v>0</v>
      </c>
      <c r="D7" s="13" t="n">
        <f aca="false">BB_PPU</f>
        <v>0</v>
      </c>
      <c r="E7" s="26" t="str">
        <f aca="false">IF(OR(N(Price)=0,N(D7)=0),"",IF(B7&lt;=D7,"PASS","MISS"))</f>
        <v/>
      </c>
      <c r="F7" s="26" t="str">
        <f aca="false">IF(OR(N(Price)=0,N(D7)=0),"",IF(C7&lt;=D7,"PASS","MISS"))</f>
        <v/>
      </c>
      <c r="J7" s="17" t="s">
        <v>389</v>
      </c>
    </row>
    <row r="8" customFormat="false" ht="15" hidden="false" customHeight="false" outlineLevel="0" collapsed="false">
      <c r="A8" s="44" t="s">
        <v>390</v>
      </c>
      <c r="B8" s="45" t="n">
        <f aca="false">IFERROR(Price/GPR_Cur,0)</f>
        <v>0</v>
      </c>
      <c r="C8" s="45" t="n">
        <f aca="false">IFERROR(Price/GPR_Stab,0)</f>
        <v>0</v>
      </c>
      <c r="J8" s="17" t="s">
        <v>391</v>
      </c>
    </row>
    <row r="9" customFormat="false" ht="15" hidden="false" customHeight="false" outlineLevel="0" collapsed="false">
      <c r="A9" s="44" t="s">
        <v>392</v>
      </c>
      <c r="B9" s="12" t="n">
        <f aca="false">EGI_Cur</f>
        <v>0</v>
      </c>
      <c r="C9" s="12" t="n">
        <f aca="false">EGI_Stab</f>
        <v>0</v>
      </c>
      <c r="J9" s="17"/>
    </row>
    <row r="10" customFormat="false" ht="15" hidden="false" customHeight="false" outlineLevel="0" collapsed="false">
      <c r="A10" s="44" t="s">
        <v>393</v>
      </c>
      <c r="B10" s="12" t="n">
        <f aca="false">OpEx_Cur</f>
        <v>0</v>
      </c>
      <c r="C10" s="12" t="n">
        <f aca="false">OpEx_Stab</f>
        <v>0</v>
      </c>
      <c r="J10" s="17"/>
    </row>
    <row r="11" customFormat="false" ht="15" hidden="false" customHeight="false" outlineLevel="0" collapsed="false">
      <c r="A11" s="46" t="s">
        <v>222</v>
      </c>
      <c r="B11" s="12" t="n">
        <f aca="false">NOI_Cur</f>
        <v>0</v>
      </c>
      <c r="C11" s="12" t="n">
        <f aca="false">NOI_Stab</f>
        <v>0</v>
      </c>
      <c r="J11" s="17" t="s">
        <v>394</v>
      </c>
    </row>
    <row r="12" customFormat="false" ht="15" hidden="false" customHeight="false" outlineLevel="0" collapsed="false">
      <c r="A12" s="46" t="s">
        <v>395</v>
      </c>
      <c r="B12" s="23" t="n">
        <f aca="false">IFERROR(NOI_Cur/Price,0)</f>
        <v>0</v>
      </c>
      <c r="C12" s="23" t="n">
        <f aca="false">IFERROR(NOI_Stab/Price,0)</f>
        <v>0</v>
      </c>
      <c r="D12" s="47" t="n">
        <f aca="false">BB_CapCurrent</f>
        <v>0.06</v>
      </c>
      <c r="E12" s="26" t="str">
        <f aca="false">IF(OR(N(Price)=0,N(D12)=0),"",IF(B12&gt;=D12,"PASS","MISS"))</f>
        <v/>
      </c>
      <c r="F12" s="26" t="str">
        <f aca="false">IF(OR(N(Price)=0,N(D12)=0),"",IF(C12&gt;=D12,"PASS","MISS"))</f>
        <v/>
      </c>
      <c r="J12" s="17" t="s">
        <v>396</v>
      </c>
    </row>
    <row r="13" customFormat="false" ht="15" hidden="false" customHeight="false" outlineLevel="0" collapsed="false">
      <c r="A13" s="44" t="s">
        <v>88</v>
      </c>
      <c r="B13" s="12" t="n">
        <f aca="false">DebtService</f>
        <v>0</v>
      </c>
      <c r="C13" s="12" t="n">
        <f aca="false">DebtService</f>
        <v>0</v>
      </c>
      <c r="J13" s="17"/>
    </row>
    <row r="14" customFormat="false" ht="15" hidden="false" customHeight="false" outlineLevel="0" collapsed="false">
      <c r="A14" s="46" t="s">
        <v>397</v>
      </c>
      <c r="B14" s="48" t="n">
        <f aca="false">IFERROR(NOI_Cur/DebtService,0)</f>
        <v>0</v>
      </c>
      <c r="C14" s="48" t="n">
        <f aca="false">IFERROR(NOI_Stab/DebtService,0)</f>
        <v>0</v>
      </c>
      <c r="D14" s="49" t="n">
        <f aca="false">BB_DSCR</f>
        <v>1.25</v>
      </c>
      <c r="E14" s="26" t="str">
        <f aca="false">IF(OR(N(Price)=0,N(D14)=0),"",IF(B14&gt;=D14,"PASS","MISS"))</f>
        <v/>
      </c>
      <c r="F14" s="26" t="str">
        <f aca="false">IF(OR(N(Price)=0,N(D14)=0),"",IF(C14&gt;=D14,"PASS","MISS"))</f>
        <v/>
      </c>
      <c r="J14" s="17" t="s">
        <v>398</v>
      </c>
    </row>
    <row r="15" customFormat="false" ht="15" hidden="false" customHeight="false" outlineLevel="0" collapsed="false">
      <c r="A15" s="44" t="s">
        <v>399</v>
      </c>
      <c r="B15" s="12" t="n">
        <f aca="false">NOI_Cur-DebtService</f>
        <v>0</v>
      </c>
      <c r="C15" s="12" t="n">
        <f aca="false">NOI_Stab-DebtService</f>
        <v>0</v>
      </c>
      <c r="J15" s="17"/>
    </row>
    <row r="16" customFormat="false" ht="25.5" hidden="false" customHeight="true" outlineLevel="0" collapsed="false">
      <c r="A16" s="44" t="s">
        <v>400</v>
      </c>
      <c r="B16" s="12" t="n">
        <f aca="false">Price*(DownPct+ClosingPct)+CapEx_Now</f>
        <v>0</v>
      </c>
      <c r="C16" s="12" t="n">
        <f aca="false">Price*(DownPct+ClosingPct)+CapEx_Now+VA_Cost</f>
        <v>0</v>
      </c>
      <c r="J16" s="17"/>
    </row>
    <row r="17" customFormat="false" ht="15" hidden="false" customHeight="false" outlineLevel="0" collapsed="false">
      <c r="A17" s="46" t="s">
        <v>401</v>
      </c>
      <c r="B17" s="23" t="n">
        <f aca="false">IFERROR(B15/B16,0)</f>
        <v>0</v>
      </c>
      <c r="C17" s="23" t="n">
        <f aca="false">IFERROR(C15/C16,0)</f>
        <v>0</v>
      </c>
      <c r="D17" s="47" t="n">
        <f aca="false">BB_CoC</f>
        <v>0.08</v>
      </c>
      <c r="E17" s="26" t="str">
        <f aca="false">IF(OR(N(Price)=0,N(D17)=0),"",IF(B17&gt;=D17,"PASS","MISS"))</f>
        <v/>
      </c>
      <c r="F17" s="26" t="str">
        <f aca="false">IF(OR(N(Price)=0,N(D17)=0),"",IF(C17&gt;=D17,"PASS","MISS"))</f>
        <v/>
      </c>
      <c r="J17" s="17" t="s">
        <v>402</v>
      </c>
    </row>
    <row r="18" customFormat="false" ht="15" hidden="false" customHeight="false" outlineLevel="0" collapsed="false">
      <c r="A18" s="44" t="s">
        <v>403</v>
      </c>
      <c r="B18" s="23" t="n">
        <f aca="false">IFERROR((OpEx_Cur+DebtService)/(GPR_Cur+Other_Cur),0)</f>
        <v>0</v>
      </c>
      <c r="C18" s="23" t="n">
        <f aca="false">IFERROR((OpEx_Stab+DebtService)/(GPR_Stab+Other_Stab),0)</f>
        <v>0</v>
      </c>
      <c r="J18" s="17" t="s">
        <v>404</v>
      </c>
    </row>
    <row r="19" customFormat="false" ht="23.85" hidden="false" customHeight="false" outlineLevel="0" collapsed="false">
      <c r="A19" s="44" t="s">
        <v>405</v>
      </c>
      <c r="B19" s="12" t="n">
        <f aca="false">Price*(1+ClosingPct)+CapEx_Now</f>
        <v>0</v>
      </c>
      <c r="C19" s="12" t="n">
        <f aca="false">Price*(1+ClosingPct)+CapEx_Now+VA_Cost</f>
        <v>0</v>
      </c>
      <c r="J19" s="17" t="s">
        <v>406</v>
      </c>
    </row>
    <row r="20" customFormat="false" ht="15" hidden="false" customHeight="false" outlineLevel="0" collapsed="false">
      <c r="A20" s="44" t="s">
        <v>407</v>
      </c>
      <c r="B20" s="23" t="n">
        <f aca="false">IFERROR(NOI_Cur/B19,0)</f>
        <v>0</v>
      </c>
      <c r="C20" s="23" t="n">
        <f aca="false">IFERROR(NOI_Stab/C19,0)</f>
        <v>0</v>
      </c>
      <c r="D20" s="47" t="n">
        <f aca="false">BB_CapCurrent</f>
        <v>0.06</v>
      </c>
      <c r="E20" s="26" t="str">
        <f aca="false">IF(OR(N(Price)=0,N(D20)=0),"",IF(B20&gt;=D20,"PASS","MISS"))</f>
        <v/>
      </c>
      <c r="F20" s="26" t="str">
        <f aca="false">IF(OR(N(Price)=0,N(D20)=0),"",IF(C20&gt;=D20,"PASS","MISS"))</f>
        <v/>
      </c>
      <c r="J20" s="17" t="s">
        <v>408</v>
      </c>
    </row>
    <row r="21" customFormat="false" ht="15" hidden="false" customHeight="false" outlineLevel="0" collapsed="false">
      <c r="A21" s="17" t="s">
        <v>409</v>
      </c>
    </row>
    <row r="22" customFormat="false" ht="15" hidden="false" customHeight="false" outlineLevel="0" collapsed="false">
      <c r="A22" s="17" t="s">
        <v>410</v>
      </c>
    </row>
    <row r="23" customFormat="false" ht="18" hidden="false" customHeight="true" outlineLevel="0" collapsed="false">
      <c r="A23" s="4" t="s">
        <v>411</v>
      </c>
      <c r="B23" s="5"/>
      <c r="C23" s="5"/>
      <c r="D23" s="5"/>
      <c r="E23" s="5"/>
      <c r="F23" s="5"/>
      <c r="G23" s="5"/>
      <c r="H23" s="5"/>
      <c r="I23" s="5"/>
      <c r="J23" s="5"/>
    </row>
    <row r="24" customFormat="false" ht="15" hidden="false" customHeight="false" outlineLevel="0" collapsed="false">
      <c r="A24" s="11" t="s">
        <v>412</v>
      </c>
      <c r="B24" s="22" t="n">
        <v>0.01</v>
      </c>
      <c r="C24" s="50" t="s">
        <v>413</v>
      </c>
      <c r="D24" s="50"/>
      <c r="E24" s="21" t="n">
        <v>0.05</v>
      </c>
    </row>
    <row r="25" customFormat="false" ht="15" hidden="false" customHeight="false" outlineLevel="0" collapsed="false">
      <c r="A25" s="11" t="s">
        <v>414</v>
      </c>
      <c r="B25" s="21" t="n">
        <v>0.1</v>
      </c>
      <c r="C25" s="50" t="s">
        <v>415</v>
      </c>
      <c r="D25" s="50"/>
      <c r="E25" s="21" t="n">
        <v>-0.05</v>
      </c>
    </row>
    <row r="27" customFormat="false" ht="27.75" hidden="false" customHeight="true" outlineLevel="0" collapsed="false">
      <c r="A27" s="7" t="s">
        <v>295</v>
      </c>
      <c r="B27" s="7" t="s">
        <v>416</v>
      </c>
      <c r="C27" s="7" t="s">
        <v>417</v>
      </c>
      <c r="D27" s="7" t="s">
        <v>418</v>
      </c>
      <c r="E27" s="7" t="s">
        <v>419</v>
      </c>
      <c r="F27" s="7" t="s">
        <v>420</v>
      </c>
      <c r="G27" s="7" t="s">
        <v>421</v>
      </c>
      <c r="H27" s="7" t="s">
        <v>422</v>
      </c>
      <c r="I27" s="7" t="s">
        <v>423</v>
      </c>
      <c r="J27" s="7" t="s">
        <v>424</v>
      </c>
    </row>
    <row r="28" customFormat="false" ht="15" hidden="false" customHeight="false" outlineLevel="0" collapsed="false">
      <c r="A28" s="44" t="s">
        <v>425</v>
      </c>
      <c r="B28" s="24" t="n">
        <f aca="false">Rate</f>
        <v>0.07</v>
      </c>
      <c r="C28" s="23" t="n">
        <f aca="false">Vac_Cur</f>
        <v>0</v>
      </c>
      <c r="D28" s="51" t="n">
        <f aca="false">1</f>
        <v>1</v>
      </c>
      <c r="E28" s="51" t="n">
        <f aca="false">1</f>
        <v>1</v>
      </c>
      <c r="F28" s="12" t="n">
        <f aca="false">(GPR_Cur*E28+Other_Cur)*(1-C28)*(1-Mgmt_Pct)-(OpEx_Cur-Mgmt_Cur)*D28</f>
        <v>0</v>
      </c>
      <c r="G28" s="12" t="n">
        <f aca="false">IFERROR(-PMT(B28/12,AmortYears*12,Loan)*12,0)</f>
        <v>0</v>
      </c>
      <c r="H28" s="48" t="str">
        <f aca="false">IF(N(GPR_Cur)=0,"",IFERROR(F28/G28,0))</f>
        <v/>
      </c>
      <c r="I28" s="12" t="n">
        <f aca="false">F28-G28</f>
        <v>0</v>
      </c>
      <c r="J28" s="23" t="n">
        <f aca="false">IFERROR(I28/CashIn_Cur,0)</f>
        <v>0</v>
      </c>
    </row>
    <row r="29" customFormat="false" ht="15" hidden="false" customHeight="false" outlineLevel="0" collapsed="false">
      <c r="A29" s="44" t="s">
        <v>426</v>
      </c>
      <c r="B29" s="24" t="n">
        <f aca="false">Rate+Sh_Rate</f>
        <v>0.08</v>
      </c>
      <c r="C29" s="23" t="n">
        <f aca="false">Vac_Cur</f>
        <v>0</v>
      </c>
      <c r="D29" s="51" t="n">
        <f aca="false">1</f>
        <v>1</v>
      </c>
      <c r="E29" s="51" t="n">
        <f aca="false">1</f>
        <v>1</v>
      </c>
      <c r="F29" s="12" t="n">
        <f aca="false">(GPR_Cur*E29+Other_Cur)*(1-C29)*(1-Mgmt_Pct)-(OpEx_Cur-Mgmt_Cur)*D29</f>
        <v>0</v>
      </c>
      <c r="G29" s="12" t="n">
        <f aca="false">IFERROR(-PMT(B29/12,AmortYears*12,Loan)*12,0)</f>
        <v>0</v>
      </c>
      <c r="H29" s="48" t="str">
        <f aca="false">IF(N(GPR_Cur)=0,"",IFERROR(F29/G29,0))</f>
        <v/>
      </c>
      <c r="I29" s="12" t="n">
        <f aca="false">F29-G29</f>
        <v>0</v>
      </c>
      <c r="J29" s="23" t="n">
        <f aca="false">IFERROR(I29/CashIn_Cur,0)</f>
        <v>0</v>
      </c>
    </row>
    <row r="30" customFormat="false" ht="15" hidden="false" customHeight="false" outlineLevel="0" collapsed="false">
      <c r="A30" s="44" t="s">
        <v>427</v>
      </c>
      <c r="B30" s="24" t="n">
        <f aca="false">Rate</f>
        <v>0.07</v>
      </c>
      <c r="C30" s="23" t="n">
        <f aca="false">Vac_Cur+Sh_Vac</f>
        <v>0.05</v>
      </c>
      <c r="D30" s="51" t="n">
        <f aca="false">1</f>
        <v>1</v>
      </c>
      <c r="E30" s="51" t="n">
        <f aca="false">1</f>
        <v>1</v>
      </c>
      <c r="F30" s="12" t="n">
        <f aca="false">(GPR_Cur*E30+Other_Cur)*(1-C30)*(1-Mgmt_Pct)-(OpEx_Cur-Mgmt_Cur)*D30</f>
        <v>0</v>
      </c>
      <c r="G30" s="12" t="n">
        <f aca="false">IFERROR(-PMT(B30/12,AmortYears*12,Loan)*12,0)</f>
        <v>0</v>
      </c>
      <c r="H30" s="48" t="str">
        <f aca="false">IF(N(GPR_Cur)=0,"",IFERROR(F30/G30,0))</f>
        <v/>
      </c>
      <c r="I30" s="12" t="n">
        <f aca="false">F30-G30</f>
        <v>0</v>
      </c>
      <c r="J30" s="23" t="n">
        <f aca="false">IFERROR(I30/CashIn_Cur,0)</f>
        <v>0</v>
      </c>
    </row>
    <row r="31" customFormat="false" ht="15" hidden="false" customHeight="false" outlineLevel="0" collapsed="false">
      <c r="A31" s="44" t="s">
        <v>428</v>
      </c>
      <c r="B31" s="24" t="n">
        <f aca="false">Rate</f>
        <v>0.07</v>
      </c>
      <c r="C31" s="23" t="n">
        <f aca="false">Vac_Cur</f>
        <v>0</v>
      </c>
      <c r="D31" s="51" t="n">
        <f aca="false">1+Sh_Exp</f>
        <v>1.1</v>
      </c>
      <c r="E31" s="51" t="n">
        <f aca="false">1</f>
        <v>1</v>
      </c>
      <c r="F31" s="12" t="n">
        <f aca="false">(GPR_Cur*E31+Other_Cur)*(1-C31)*(1-Mgmt_Pct)-(OpEx_Cur-Mgmt_Cur)*D31</f>
        <v>0</v>
      </c>
      <c r="G31" s="12" t="n">
        <f aca="false">IFERROR(-PMT(B31/12,AmortYears*12,Loan)*12,0)</f>
        <v>0</v>
      </c>
      <c r="H31" s="48" t="str">
        <f aca="false">IF(N(GPR_Cur)=0,"",IFERROR(F31/G31,0))</f>
        <v/>
      </c>
      <c r="I31" s="12" t="n">
        <f aca="false">F31-G31</f>
        <v>0</v>
      </c>
      <c r="J31" s="23" t="n">
        <f aca="false">IFERROR(I31/CashIn_Cur,0)</f>
        <v>0</v>
      </c>
    </row>
    <row r="32" customFormat="false" ht="15" hidden="false" customHeight="false" outlineLevel="0" collapsed="false">
      <c r="A32" s="44" t="s">
        <v>429</v>
      </c>
      <c r="B32" s="24" t="n">
        <f aca="false">Rate</f>
        <v>0.07</v>
      </c>
      <c r="C32" s="23" t="n">
        <f aca="false">Vac_Cur</f>
        <v>0</v>
      </c>
      <c r="D32" s="51" t="n">
        <f aca="false">1</f>
        <v>1</v>
      </c>
      <c r="E32" s="51" t="n">
        <f aca="false">1+Sh_Rent</f>
        <v>0.95</v>
      </c>
      <c r="F32" s="12" t="n">
        <f aca="false">(GPR_Cur*E32+Other_Cur)*(1-C32)*(1-Mgmt_Pct)-(OpEx_Cur-Mgmt_Cur)*D32</f>
        <v>0</v>
      </c>
      <c r="G32" s="12" t="n">
        <f aca="false">IFERROR(-PMT(B32/12,AmortYears*12,Loan)*12,0)</f>
        <v>0</v>
      </c>
      <c r="H32" s="48" t="str">
        <f aca="false">IF(N(GPR_Cur)=0,"",IFERROR(F32/G32,0))</f>
        <v/>
      </c>
      <c r="I32" s="12" t="n">
        <f aca="false">F32-G32</f>
        <v>0</v>
      </c>
      <c r="J32" s="23" t="n">
        <f aca="false">IFERROR(I32/CashIn_Cur,0)</f>
        <v>0</v>
      </c>
    </row>
    <row r="33" customFormat="false" ht="25.5" hidden="false" customHeight="true" outlineLevel="0" collapsed="false">
      <c r="A33" s="44" t="s">
        <v>430</v>
      </c>
      <c r="B33" s="24" t="n">
        <f aca="false">Rate+Sh_Rate</f>
        <v>0.08</v>
      </c>
      <c r="C33" s="23" t="n">
        <f aca="false">Vac_Cur+Sh_Vac</f>
        <v>0.05</v>
      </c>
      <c r="D33" s="51" t="n">
        <f aca="false">1+Sh_Exp</f>
        <v>1.1</v>
      </c>
      <c r="E33" s="51" t="n">
        <f aca="false">1</f>
        <v>1</v>
      </c>
      <c r="F33" s="12" t="n">
        <f aca="false">(GPR_Cur*E33+Other_Cur)*(1-C33)*(1-Mgmt_Pct)-(OpEx_Cur-Mgmt_Cur)*D33</f>
        <v>0</v>
      </c>
      <c r="G33" s="12" t="n">
        <f aca="false">IFERROR(-PMT(B33/12,AmortYears*12,Loan)*12,0)</f>
        <v>0</v>
      </c>
      <c r="H33" s="48" t="str">
        <f aca="false">IF(N(GPR_Cur)=0,"",IFERROR(F33/G33,0))</f>
        <v/>
      </c>
      <c r="I33" s="12" t="n">
        <f aca="false">F33-G33</f>
        <v>0</v>
      </c>
      <c r="J33" s="23" t="n">
        <f aca="false">IFERROR(I33/CashIn_Cur,0)</f>
        <v>0</v>
      </c>
    </row>
    <row r="34" customFormat="false" ht="15" hidden="false" customHeight="false" outlineLevel="0" collapsed="false">
      <c r="A34" s="17" t="s">
        <v>431</v>
      </c>
    </row>
    <row r="36" customFormat="false" ht="18" hidden="false" customHeight="true" outlineLevel="0" collapsed="false">
      <c r="A36" s="4" t="s">
        <v>432</v>
      </c>
      <c r="B36" s="5"/>
      <c r="C36" s="5"/>
      <c r="D36" s="5"/>
      <c r="E36" s="5"/>
      <c r="F36" s="5"/>
      <c r="G36" s="5"/>
      <c r="H36" s="5"/>
      <c r="I36" s="5"/>
      <c r="J36" s="5"/>
    </row>
    <row r="37" customFormat="false" ht="15" hidden="false" customHeight="false" outlineLevel="0" collapsed="false">
      <c r="A37" s="52" t="s">
        <v>433</v>
      </c>
      <c r="B37" s="21" t="n">
        <v>0.03</v>
      </c>
      <c r="C37" s="21" t="n">
        <v>0.05</v>
      </c>
      <c r="D37" s="21" t="n">
        <v>0.08</v>
      </c>
      <c r="E37" s="21" t="n">
        <v>0.1</v>
      </c>
      <c r="F37" s="21" t="n">
        <v>0.15</v>
      </c>
    </row>
    <row r="38" customFormat="false" ht="15" hidden="false" customHeight="false" outlineLevel="0" collapsed="false">
      <c r="A38" s="24" t="n">
        <f aca="false">Rate+(-0.01)</f>
        <v>0.06</v>
      </c>
      <c r="B38" s="48" t="str">
        <f aca="false">IF(N(GPR_Cur)=0,"",IFERROR(((GPR_Cur+Other_Cur)*(1-B$37)*(1-Mgmt_Pct)-(OpEx_Cur-Mgmt_Cur))/(-PMT($A38/12,AmortYears*12,Loan)*12),0))</f>
        <v/>
      </c>
      <c r="C38" s="48" t="str">
        <f aca="false">IF(N(GPR_Cur)=0,"",IFERROR(((GPR_Cur+Other_Cur)*(1-C$37)*(1-Mgmt_Pct)-(OpEx_Cur-Mgmt_Cur))/(-PMT($A38/12,AmortYears*12,Loan)*12),0))</f>
        <v/>
      </c>
      <c r="D38" s="48" t="str">
        <f aca="false">IF(N(GPR_Cur)=0,"",IFERROR(((GPR_Cur+Other_Cur)*(1-D$37)*(1-Mgmt_Pct)-(OpEx_Cur-Mgmt_Cur))/(-PMT($A38/12,AmortYears*12,Loan)*12),0))</f>
        <v/>
      </c>
      <c r="E38" s="48" t="str">
        <f aca="false">IF(N(GPR_Cur)=0,"",IFERROR(((GPR_Cur+Other_Cur)*(1-E$37)*(1-Mgmt_Pct)-(OpEx_Cur-Mgmt_Cur))/(-PMT($A38/12,AmortYears*12,Loan)*12),0))</f>
        <v/>
      </c>
      <c r="F38" s="48" t="str">
        <f aca="false">IF(N(GPR_Cur)=0,"",IFERROR(((GPR_Cur+Other_Cur)*(1-F$37)*(1-Mgmt_Pct)-(OpEx_Cur-Mgmt_Cur))/(-PMT($A38/12,AmortYears*12,Loan)*12),0))</f>
        <v/>
      </c>
    </row>
    <row r="39" customFormat="false" ht="15" hidden="false" customHeight="false" outlineLevel="0" collapsed="false">
      <c r="A39" s="24" t="n">
        <f aca="false">Rate+(-0.005)</f>
        <v>0.065</v>
      </c>
      <c r="B39" s="48" t="str">
        <f aca="false">IF(N(GPR_Cur)=0,"",IFERROR(((GPR_Cur+Other_Cur)*(1-B$37)*(1-Mgmt_Pct)-(OpEx_Cur-Mgmt_Cur))/(-PMT($A39/12,AmortYears*12,Loan)*12),0))</f>
        <v/>
      </c>
      <c r="C39" s="48" t="str">
        <f aca="false">IF(N(GPR_Cur)=0,"",IFERROR(((GPR_Cur+Other_Cur)*(1-C$37)*(1-Mgmt_Pct)-(OpEx_Cur-Mgmt_Cur))/(-PMT($A39/12,AmortYears*12,Loan)*12),0))</f>
        <v/>
      </c>
      <c r="D39" s="48" t="str">
        <f aca="false">IF(N(GPR_Cur)=0,"",IFERROR(((GPR_Cur+Other_Cur)*(1-D$37)*(1-Mgmt_Pct)-(OpEx_Cur-Mgmt_Cur))/(-PMT($A39/12,AmortYears*12,Loan)*12),0))</f>
        <v/>
      </c>
      <c r="E39" s="48" t="str">
        <f aca="false">IF(N(GPR_Cur)=0,"",IFERROR(((GPR_Cur+Other_Cur)*(1-E$37)*(1-Mgmt_Pct)-(OpEx_Cur-Mgmt_Cur))/(-PMT($A39/12,AmortYears*12,Loan)*12),0))</f>
        <v/>
      </c>
      <c r="F39" s="48" t="str">
        <f aca="false">IF(N(GPR_Cur)=0,"",IFERROR(((GPR_Cur+Other_Cur)*(1-F$37)*(1-Mgmt_Pct)-(OpEx_Cur-Mgmt_Cur))/(-PMT($A39/12,AmortYears*12,Loan)*12),0))</f>
        <v/>
      </c>
    </row>
    <row r="40" customFormat="false" ht="15" hidden="false" customHeight="false" outlineLevel="0" collapsed="false">
      <c r="A40" s="24" t="n">
        <f aca="false">Rate+(0)</f>
        <v>0.07</v>
      </c>
      <c r="B40" s="48" t="str">
        <f aca="false">IF(N(GPR_Cur)=0,"",IFERROR(((GPR_Cur+Other_Cur)*(1-B$37)*(1-Mgmt_Pct)-(OpEx_Cur-Mgmt_Cur))/(-PMT($A40/12,AmortYears*12,Loan)*12),0))</f>
        <v/>
      </c>
      <c r="C40" s="48" t="str">
        <f aca="false">IF(N(GPR_Cur)=0,"",IFERROR(((GPR_Cur+Other_Cur)*(1-C$37)*(1-Mgmt_Pct)-(OpEx_Cur-Mgmt_Cur))/(-PMT($A40/12,AmortYears*12,Loan)*12),0))</f>
        <v/>
      </c>
      <c r="D40" s="48" t="str">
        <f aca="false">IF(N(GPR_Cur)=0,"",IFERROR(((GPR_Cur+Other_Cur)*(1-D$37)*(1-Mgmt_Pct)-(OpEx_Cur-Mgmt_Cur))/(-PMT($A40/12,AmortYears*12,Loan)*12),0))</f>
        <v/>
      </c>
      <c r="E40" s="48" t="str">
        <f aca="false">IF(N(GPR_Cur)=0,"",IFERROR(((GPR_Cur+Other_Cur)*(1-E$37)*(1-Mgmt_Pct)-(OpEx_Cur-Mgmt_Cur))/(-PMT($A40/12,AmortYears*12,Loan)*12),0))</f>
        <v/>
      </c>
      <c r="F40" s="48" t="str">
        <f aca="false">IF(N(GPR_Cur)=0,"",IFERROR(((GPR_Cur+Other_Cur)*(1-F$37)*(1-Mgmt_Pct)-(OpEx_Cur-Mgmt_Cur))/(-PMT($A40/12,AmortYears*12,Loan)*12),0))</f>
        <v/>
      </c>
    </row>
    <row r="41" customFormat="false" ht="15" hidden="false" customHeight="false" outlineLevel="0" collapsed="false">
      <c r="A41" s="24" t="n">
        <f aca="false">Rate+(0.005)</f>
        <v>0.075</v>
      </c>
      <c r="B41" s="48" t="str">
        <f aca="false">IF(N(GPR_Cur)=0,"",IFERROR(((GPR_Cur+Other_Cur)*(1-B$37)*(1-Mgmt_Pct)-(OpEx_Cur-Mgmt_Cur))/(-PMT($A41/12,AmortYears*12,Loan)*12),0))</f>
        <v/>
      </c>
      <c r="C41" s="48" t="str">
        <f aca="false">IF(N(GPR_Cur)=0,"",IFERROR(((GPR_Cur+Other_Cur)*(1-C$37)*(1-Mgmt_Pct)-(OpEx_Cur-Mgmt_Cur))/(-PMT($A41/12,AmortYears*12,Loan)*12),0))</f>
        <v/>
      </c>
      <c r="D41" s="48" t="str">
        <f aca="false">IF(N(GPR_Cur)=0,"",IFERROR(((GPR_Cur+Other_Cur)*(1-D$37)*(1-Mgmt_Pct)-(OpEx_Cur-Mgmt_Cur))/(-PMT($A41/12,AmortYears*12,Loan)*12),0))</f>
        <v/>
      </c>
      <c r="E41" s="48" t="str">
        <f aca="false">IF(N(GPR_Cur)=0,"",IFERROR(((GPR_Cur+Other_Cur)*(1-E$37)*(1-Mgmt_Pct)-(OpEx_Cur-Mgmt_Cur))/(-PMT($A41/12,AmortYears*12,Loan)*12),0))</f>
        <v/>
      </c>
      <c r="F41" s="48" t="str">
        <f aca="false">IF(N(GPR_Cur)=0,"",IFERROR(((GPR_Cur+Other_Cur)*(1-F$37)*(1-Mgmt_Pct)-(OpEx_Cur-Mgmt_Cur))/(-PMT($A41/12,AmortYears*12,Loan)*12),0))</f>
        <v/>
      </c>
    </row>
    <row r="42" customFormat="false" ht="15" hidden="false" customHeight="false" outlineLevel="0" collapsed="false">
      <c r="A42" s="24" t="n">
        <f aca="false">Rate+(0.01)</f>
        <v>0.08</v>
      </c>
      <c r="B42" s="48" t="str">
        <f aca="false">IF(N(GPR_Cur)=0,"",IFERROR(((GPR_Cur+Other_Cur)*(1-B$37)*(1-Mgmt_Pct)-(OpEx_Cur-Mgmt_Cur))/(-PMT($A42/12,AmortYears*12,Loan)*12),0))</f>
        <v/>
      </c>
      <c r="C42" s="48" t="str">
        <f aca="false">IF(N(GPR_Cur)=0,"",IFERROR(((GPR_Cur+Other_Cur)*(1-C$37)*(1-Mgmt_Pct)-(OpEx_Cur-Mgmt_Cur))/(-PMT($A42/12,AmortYears*12,Loan)*12),0))</f>
        <v/>
      </c>
      <c r="D42" s="48" t="str">
        <f aca="false">IF(N(GPR_Cur)=0,"",IFERROR(((GPR_Cur+Other_Cur)*(1-D$37)*(1-Mgmt_Pct)-(OpEx_Cur-Mgmt_Cur))/(-PMT($A42/12,AmortYears*12,Loan)*12),0))</f>
        <v/>
      </c>
      <c r="E42" s="48" t="str">
        <f aca="false">IF(N(GPR_Cur)=0,"",IFERROR(((GPR_Cur+Other_Cur)*(1-E$37)*(1-Mgmt_Pct)-(OpEx_Cur-Mgmt_Cur))/(-PMT($A42/12,AmortYears*12,Loan)*12),0))</f>
        <v/>
      </c>
      <c r="F42" s="48" t="str">
        <f aca="false">IF(N(GPR_Cur)=0,"",IFERROR(((GPR_Cur+Other_Cur)*(1-F$37)*(1-Mgmt_Pct)-(OpEx_Cur-Mgmt_Cur))/(-PMT($A42/12,AmortYears*12,Loan)*12),0))</f>
        <v/>
      </c>
    </row>
    <row r="43" customFormat="false" ht="15" hidden="false" customHeight="false" outlineLevel="0" collapsed="false">
      <c r="A43" s="24" t="n">
        <f aca="false">Rate+(0.015)</f>
        <v>0.085</v>
      </c>
      <c r="B43" s="48" t="str">
        <f aca="false">IF(N(GPR_Cur)=0,"",IFERROR(((GPR_Cur+Other_Cur)*(1-B$37)*(1-Mgmt_Pct)-(OpEx_Cur-Mgmt_Cur))/(-PMT($A43/12,AmortYears*12,Loan)*12),0))</f>
        <v/>
      </c>
      <c r="C43" s="48" t="str">
        <f aca="false">IF(N(GPR_Cur)=0,"",IFERROR(((GPR_Cur+Other_Cur)*(1-C$37)*(1-Mgmt_Pct)-(OpEx_Cur-Mgmt_Cur))/(-PMT($A43/12,AmortYears*12,Loan)*12),0))</f>
        <v/>
      </c>
      <c r="D43" s="48" t="str">
        <f aca="false">IF(N(GPR_Cur)=0,"",IFERROR(((GPR_Cur+Other_Cur)*(1-D$37)*(1-Mgmt_Pct)-(OpEx_Cur-Mgmt_Cur))/(-PMT($A43/12,AmortYears*12,Loan)*12),0))</f>
        <v/>
      </c>
      <c r="E43" s="48" t="str">
        <f aca="false">IF(N(GPR_Cur)=0,"",IFERROR(((GPR_Cur+Other_Cur)*(1-E$37)*(1-Mgmt_Pct)-(OpEx_Cur-Mgmt_Cur))/(-PMT($A43/12,AmortYears*12,Loan)*12),0))</f>
        <v/>
      </c>
      <c r="F43" s="48" t="str">
        <f aca="false">IF(N(GPR_Cur)=0,"",IFERROR(((GPR_Cur+Other_Cur)*(1-F$37)*(1-Mgmt_Pct)-(OpEx_Cur-Mgmt_Cur))/(-PMT($A43/12,AmortYears*12,Loan)*12),0))</f>
        <v/>
      </c>
    </row>
    <row r="44" customFormat="false" ht="15" hidden="false" customHeight="false" outlineLevel="0" collapsed="false">
      <c r="A44" s="17" t="s">
        <v>434</v>
      </c>
    </row>
  </sheetData>
  <mergeCells count="2">
    <mergeCell ref="C24:D24"/>
    <mergeCell ref="C25:D25"/>
  </mergeCells>
  <conditionalFormatting sqref="E6:E20">
    <cfRule type="cellIs" priority="2" operator="equal" aboveAverage="0" equalAverage="0" bottom="0" percent="0" rank="0" text="" dxfId="2">
      <formula>"PASS"</formula>
    </cfRule>
    <cfRule type="cellIs" priority="3" operator="equal" aboveAverage="0" equalAverage="0" bottom="0" percent="0" rank="0" text="" dxfId="3">
      <formula>"MISS"</formula>
    </cfRule>
  </conditionalFormatting>
  <conditionalFormatting sqref="F6:F20">
    <cfRule type="cellIs" priority="4" operator="equal" aboveAverage="0" equalAverage="0" bottom="0" percent="0" rank="0" text="" dxfId="2">
      <formula>"PASS"</formula>
    </cfRule>
    <cfRule type="cellIs" priority="5" operator="equal" aboveAverage="0" equalAverage="0" bottom="0" percent="0" rank="0" text="" dxfId="3">
      <formula>"MISS"</formula>
    </cfRule>
  </conditionalFormatting>
  <conditionalFormatting sqref="H28:H33">
    <cfRule type="cellIs" priority="6" operator="lessThan" aboveAverage="0" equalAverage="0" bottom="0" percent="0" rank="0" text="" dxfId="3">
      <formula>1</formula>
    </cfRule>
    <cfRule type="cellIs" priority="7" operator="lessThan" aboveAverage="0" equalAverage="0" bottom="0" percent="0" rank="0" text="" dxfId="4">
      <formula>BB_DSCR</formula>
    </cfRule>
  </conditionalFormatting>
  <conditionalFormatting sqref="I28:I33">
    <cfRule type="cellIs" priority="8" operator="lessThan" aboveAverage="0" equalAverage="0" bottom="0" percent="0" rank="0" text="" dxfId="0">
      <formula>0</formula>
    </cfRule>
  </conditionalFormatting>
  <conditionalFormatting sqref="B38:F43">
    <cfRule type="cellIs" priority="9" operator="lessThan" aboveAverage="0" equalAverage="0" bottom="0" percent="0" rank="0" text="" dxfId="3">
      <formula>1</formula>
    </cfRule>
    <cfRule type="cellIs" priority="10" operator="lessThan" aboveAverage="0" equalAverage="0" bottom="0" percent="0" rank="0" text="" dxfId="5">
      <formula>BB_DSCR</formula>
    </cfRule>
    <cfRule type="cellIs" priority="11" operator="greaterThanOrEqual" aboveAverage="0" equalAverage="0" bottom="0" percent="0" rank="0" text="" dxfId="2">
      <formula>BB_DSCR</formula>
    </cfRule>
  </conditionalFormatting>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
    <col collapsed="false" customWidth="true" hidden="false" outlineLevel="0" max="4" min="3" style="0" width="12"/>
    <col collapsed="false" customWidth="true" hidden="false" outlineLevel="0" max="5" min="5" style="0" width="11"/>
    <col collapsed="false" customWidth="true" hidden="false" outlineLevel="0" max="6" min="6" style="0" width="9"/>
    <col collapsed="false" customWidth="true" hidden="false" outlineLevel="0" max="8" min="7" style="0" width="13"/>
    <col collapsed="false" customWidth="true" hidden="false" outlineLevel="0" max="10" min="9" style="0" width="11"/>
    <col collapsed="false" customWidth="true" hidden="false" outlineLevel="0" max="11" min="11" style="0" width="56"/>
  </cols>
  <sheetData>
    <row r="1" customFormat="false" ht="24" hidden="false" customHeight="true" outlineLevel="0" collapsed="false">
      <c r="A1" s="1" t="s">
        <v>435</v>
      </c>
    </row>
    <row r="2" customFormat="false" ht="15" hidden="false" customHeight="false" outlineLevel="0" collapsed="false">
      <c r="A2" s="2" t="s">
        <v>40</v>
      </c>
    </row>
    <row r="4" customFormat="false" ht="18" hidden="false" customHeight="true" outlineLevel="0" collapsed="false">
      <c r="A4" s="4" t="s">
        <v>436</v>
      </c>
      <c r="B4" s="5"/>
      <c r="C4" s="5"/>
      <c r="D4" s="5"/>
      <c r="E4" s="5"/>
      <c r="F4" s="5"/>
      <c r="G4" s="5"/>
      <c r="H4" s="5"/>
      <c r="I4" s="5"/>
      <c r="J4" s="5"/>
      <c r="K4" s="5"/>
    </row>
    <row r="5" customFormat="false" ht="27.75" hidden="false" customHeight="true" outlineLevel="0" collapsed="false">
      <c r="A5" s="7" t="s">
        <v>437</v>
      </c>
      <c r="B5" s="7" t="s">
        <v>438</v>
      </c>
      <c r="C5" s="7" t="s">
        <v>439</v>
      </c>
      <c r="D5" s="7" t="s">
        <v>440</v>
      </c>
      <c r="E5" s="7" t="s">
        <v>441</v>
      </c>
      <c r="F5" s="7" t="s">
        <v>336</v>
      </c>
      <c r="G5" s="7" t="s">
        <v>442</v>
      </c>
      <c r="H5" s="7" t="s">
        <v>443</v>
      </c>
      <c r="I5" s="7" t="s">
        <v>444</v>
      </c>
      <c r="J5" s="7" t="s">
        <v>445</v>
      </c>
      <c r="K5" s="7" t="s">
        <v>446</v>
      </c>
    </row>
    <row r="6" customFormat="false" ht="15" hidden="false" customHeight="false" outlineLevel="0" collapsed="false">
      <c r="A6" s="53" t="s">
        <v>447</v>
      </c>
      <c r="B6" s="34" t="n">
        <f aca="false">COUNTIF('2 Rents'!L6:L25,"&gt;0")</f>
        <v>0</v>
      </c>
      <c r="C6" s="12" t="n">
        <f aca="false">IFERROR(RentGap_Mo/B6,0)</f>
        <v>0</v>
      </c>
      <c r="D6" s="10"/>
      <c r="E6" s="18"/>
      <c r="F6" s="27" t="s">
        <v>448</v>
      </c>
      <c r="G6" s="12" t="n">
        <f aca="false">RentGap_Mo*12</f>
        <v>0</v>
      </c>
      <c r="H6" s="12" t="n">
        <f aca="false">IFERROR(G6/ValueCap,0)</f>
        <v>0</v>
      </c>
      <c r="I6" s="23" t="n">
        <f aca="false">IFERROR(G6/D6,0)</f>
        <v>0</v>
      </c>
      <c r="J6" s="34" t="n">
        <f aca="false">IFERROR(D6/(G6/12),0)</f>
        <v>0</v>
      </c>
      <c r="K6" s="16" t="s">
        <v>449</v>
      </c>
    </row>
    <row r="7" customFormat="false" ht="15" hidden="false" customHeight="false" outlineLevel="0" collapsed="false">
      <c r="A7" s="16" t="s">
        <v>450</v>
      </c>
      <c r="B7" s="18"/>
      <c r="C7" s="10"/>
      <c r="D7" s="10"/>
      <c r="E7" s="18"/>
      <c r="F7" s="16"/>
      <c r="G7" s="12" t="n">
        <f aca="false">IF(F7="Yes",N(B7)*N(C7)*12,0)</f>
        <v>0</v>
      </c>
      <c r="H7" s="12" t="n">
        <f aca="false">IFERROR(G7/ValueCap,0)</f>
        <v>0</v>
      </c>
      <c r="I7" s="23" t="str">
        <f aca="false">IF(AND(F7="Yes",N(D7)&gt;0),G7/D7,"")</f>
        <v/>
      </c>
      <c r="J7" s="34" t="str">
        <f aca="false">IF(AND(F7="Yes",G7&gt;0),N(D7)/(G7/12),"")</f>
        <v/>
      </c>
      <c r="K7" s="16" t="s">
        <v>451</v>
      </c>
    </row>
    <row r="8" customFormat="false" ht="15" hidden="false" customHeight="false" outlineLevel="0" collapsed="false">
      <c r="A8" s="16" t="s">
        <v>452</v>
      </c>
      <c r="B8" s="18"/>
      <c r="C8" s="10"/>
      <c r="D8" s="10"/>
      <c r="E8" s="18"/>
      <c r="F8" s="16"/>
      <c r="G8" s="12" t="n">
        <f aca="false">IF(F8="Yes",N(B8)*N(C8)*12,0)</f>
        <v>0</v>
      </c>
      <c r="H8" s="12" t="n">
        <f aca="false">IFERROR(G8/ValueCap,0)</f>
        <v>0</v>
      </c>
      <c r="I8" s="23" t="str">
        <f aca="false">IF(AND(F8="Yes",N(D8)&gt;0),G8/D8,"")</f>
        <v/>
      </c>
      <c r="J8" s="34" t="str">
        <f aca="false">IF(AND(F8="Yes",G8&gt;0),N(D8)/(G8/12),"")</f>
        <v/>
      </c>
      <c r="K8" s="16"/>
    </row>
    <row r="9" customFormat="false" ht="15" hidden="false" customHeight="false" outlineLevel="0" collapsed="false">
      <c r="A9" s="16" t="s">
        <v>234</v>
      </c>
      <c r="B9" s="18"/>
      <c r="C9" s="10"/>
      <c r="D9" s="10"/>
      <c r="E9" s="18"/>
      <c r="F9" s="16"/>
      <c r="G9" s="12" t="n">
        <f aca="false">IF(F9="Yes",N(B9)*N(C9)*12,0)</f>
        <v>0</v>
      </c>
      <c r="H9" s="12" t="n">
        <f aca="false">IFERROR(G9/ValueCap,0)</f>
        <v>0</v>
      </c>
      <c r="I9" s="23" t="str">
        <f aca="false">IF(AND(F9="Yes",N(D9)&gt;0),G9/D9,"")</f>
        <v/>
      </c>
      <c r="J9" s="34" t="str">
        <f aca="false">IF(AND(F9="Yes",G9&gt;0),N(D9)/(G9/12),"")</f>
        <v/>
      </c>
      <c r="K9" s="16" t="s">
        <v>453</v>
      </c>
    </row>
    <row r="10" customFormat="false" ht="15" hidden="false" customHeight="false" outlineLevel="0" collapsed="false">
      <c r="A10" s="16" t="s">
        <v>454</v>
      </c>
      <c r="B10" s="18"/>
      <c r="C10" s="10"/>
      <c r="D10" s="10"/>
      <c r="E10" s="18"/>
      <c r="F10" s="16"/>
      <c r="G10" s="12" t="n">
        <f aca="false">IF(F10="Yes",N(B10)*N(C10)*12,0)</f>
        <v>0</v>
      </c>
      <c r="H10" s="12" t="n">
        <f aca="false">IFERROR(G10/ValueCap,0)</f>
        <v>0</v>
      </c>
      <c r="I10" s="23" t="str">
        <f aca="false">IF(AND(F10="Yes",N(D10)&gt;0),G10/D10,"")</f>
        <v/>
      </c>
      <c r="J10" s="34" t="str">
        <f aca="false">IF(AND(F10="Yes",G10&gt;0),N(D10)/(G10/12),"")</f>
        <v/>
      </c>
      <c r="K10" s="16"/>
    </row>
    <row r="11" customFormat="false" ht="15" hidden="false" customHeight="false" outlineLevel="0" collapsed="false">
      <c r="A11" s="16" t="s">
        <v>455</v>
      </c>
      <c r="B11" s="18"/>
      <c r="C11" s="10"/>
      <c r="D11" s="10"/>
      <c r="E11" s="18"/>
      <c r="F11" s="16"/>
      <c r="G11" s="12" t="n">
        <f aca="false">IF(F11="Yes",N(B11)*N(C11)*12,0)</f>
        <v>0</v>
      </c>
      <c r="H11" s="12" t="n">
        <f aca="false">IFERROR(G11/ValueCap,0)</f>
        <v>0</v>
      </c>
      <c r="I11" s="23" t="str">
        <f aca="false">IF(AND(F11="Yes",N(D11)&gt;0),G11/D11,"")</f>
        <v/>
      </c>
      <c r="J11" s="34" t="str">
        <f aca="false">IF(AND(F11="Yes",G11&gt;0),N(D11)/(G11/12),"")</f>
        <v/>
      </c>
      <c r="K11" s="16" t="s">
        <v>456</v>
      </c>
    </row>
    <row r="12" customFormat="false" ht="15" hidden="false" customHeight="false" outlineLevel="0" collapsed="false">
      <c r="A12" s="16" t="s">
        <v>457</v>
      </c>
      <c r="B12" s="18"/>
      <c r="C12" s="10"/>
      <c r="D12" s="10"/>
      <c r="E12" s="18"/>
      <c r="F12" s="16"/>
      <c r="G12" s="12" t="n">
        <f aca="false">IF(F12="Yes",N(B12)*N(C12)*12,0)</f>
        <v>0</v>
      </c>
      <c r="H12" s="12" t="n">
        <f aca="false">IFERROR(G12/ValueCap,0)</f>
        <v>0</v>
      </c>
      <c r="I12" s="23" t="str">
        <f aca="false">IF(AND(F12="Yes",N(D12)&gt;0),G12/D12,"")</f>
        <v/>
      </c>
      <c r="J12" s="34" t="str">
        <f aca="false">IF(AND(F12="Yes",G12&gt;0),N(D12)/(G12/12),"")</f>
        <v/>
      </c>
      <c r="K12" s="16" t="s">
        <v>458</v>
      </c>
    </row>
    <row r="13" customFormat="false" ht="15" hidden="false" customHeight="false" outlineLevel="0" collapsed="false">
      <c r="A13" s="16" t="s">
        <v>459</v>
      </c>
      <c r="B13" s="18"/>
      <c r="C13" s="10"/>
      <c r="D13" s="10"/>
      <c r="E13" s="18"/>
      <c r="F13" s="16"/>
      <c r="G13" s="12" t="n">
        <f aca="false">IF(F13="Yes",N(B13)*N(C13)*12,0)</f>
        <v>0</v>
      </c>
      <c r="H13" s="12" t="n">
        <f aca="false">IFERROR(G13/ValueCap,0)</f>
        <v>0</v>
      </c>
      <c r="I13" s="23" t="str">
        <f aca="false">IF(AND(F13="Yes",N(D13)&gt;0),G13/D13,"")</f>
        <v/>
      </c>
      <c r="J13" s="34" t="str">
        <f aca="false">IF(AND(F13="Yes",G13&gt;0),N(D13)/(G13/12),"")</f>
        <v/>
      </c>
      <c r="K13" s="16" t="s">
        <v>460</v>
      </c>
    </row>
    <row r="14" customFormat="false" ht="15" hidden="false" customHeight="false" outlineLevel="0" collapsed="false">
      <c r="A14" s="16"/>
      <c r="B14" s="16"/>
      <c r="C14" s="10"/>
      <c r="D14" s="10"/>
      <c r="E14" s="16"/>
      <c r="F14" s="16"/>
      <c r="G14" s="12" t="n">
        <f aca="false">IF(F14="Yes",N(B14)*N(C14)*12,0)</f>
        <v>0</v>
      </c>
      <c r="H14" s="12" t="n">
        <f aca="false">IFERROR(G14/ValueCap,0)</f>
        <v>0</v>
      </c>
      <c r="I14" s="23" t="str">
        <f aca="false">IF(AND(F14="Yes",N(D14)&gt;0),G14/D14,"")</f>
        <v/>
      </c>
      <c r="J14" s="34" t="str">
        <f aca="false">IF(AND(F14="Yes",G14&gt;0),N(D14)/(G14/12),"")</f>
        <v/>
      </c>
      <c r="K14" s="16"/>
    </row>
    <row r="15" customFormat="false" ht="15" hidden="false" customHeight="false" outlineLevel="0" collapsed="false">
      <c r="A15" s="16"/>
      <c r="B15" s="16"/>
      <c r="C15" s="10"/>
      <c r="D15" s="10"/>
      <c r="E15" s="16"/>
      <c r="F15" s="16"/>
      <c r="G15" s="12" t="n">
        <f aca="false">IF(F15="Yes",N(B15)*N(C15)*12,0)</f>
        <v>0</v>
      </c>
      <c r="H15" s="12" t="n">
        <f aca="false">IFERROR(G15/ValueCap,0)</f>
        <v>0</v>
      </c>
      <c r="I15" s="23" t="str">
        <f aca="false">IF(AND(F15="Yes",N(D15)&gt;0),G15/D15,"")</f>
        <v/>
      </c>
      <c r="J15" s="34" t="str">
        <f aca="false">IF(AND(F15="Yes",G15&gt;0),N(D15)/(G15/12),"")</f>
        <v/>
      </c>
      <c r="K15" s="16"/>
    </row>
    <row r="16" customFormat="false" ht="15" hidden="false" customHeight="false" outlineLevel="0" collapsed="false">
      <c r="A16" s="16"/>
      <c r="B16" s="16"/>
      <c r="C16" s="10"/>
      <c r="D16" s="10"/>
      <c r="E16" s="16"/>
      <c r="F16" s="16"/>
      <c r="G16" s="12" t="n">
        <f aca="false">IF(F16="Yes",N(B16)*N(C16)*12,0)</f>
        <v>0</v>
      </c>
      <c r="H16" s="12" t="n">
        <f aca="false">IFERROR(G16/ValueCap,0)</f>
        <v>0</v>
      </c>
      <c r="I16" s="23" t="str">
        <f aca="false">IF(AND(F16="Yes",N(D16)&gt;0),G16/D16,"")</f>
        <v/>
      </c>
      <c r="J16" s="34" t="str">
        <f aca="false">IF(AND(F16="Yes",G16&gt;0),N(D16)/(G16/12),"")</f>
        <v/>
      </c>
      <c r="K16" s="16"/>
    </row>
    <row r="17" customFormat="false" ht="15" hidden="false" customHeight="false" outlineLevel="0" collapsed="false">
      <c r="A17" s="20" t="s">
        <v>461</v>
      </c>
      <c r="D17" s="31" t="n">
        <f aca="false">D6+SUMIFS(D7:D16,F7:F16,"Yes")</f>
        <v>0</v>
      </c>
      <c r="G17" s="31" t="n">
        <f aca="false">SUM(G6:G16)</f>
        <v>0</v>
      </c>
      <c r="H17" s="31" t="n">
        <f aca="false">SUM(H6:H16)</f>
        <v>0</v>
      </c>
      <c r="I17" s="32" t="n">
        <f aca="false">IFERROR(G17/D17,0)</f>
        <v>0</v>
      </c>
    </row>
    <row r="18" customFormat="false" ht="15" hidden="false" customHeight="false" outlineLevel="0" collapsed="false">
      <c r="A18" s="11" t="s">
        <v>462</v>
      </c>
      <c r="G18" s="12" t="n">
        <f aca="false">SUM(G7:G16)</f>
        <v>0</v>
      </c>
      <c r="H18" s="17" t="s">
        <v>463</v>
      </c>
    </row>
    <row r="19" customFormat="false" ht="15" hidden="false" customHeight="false" outlineLevel="0" collapsed="false">
      <c r="A19" s="11" t="s">
        <v>464</v>
      </c>
      <c r="G19" s="21"/>
      <c r="H19" s="17" t="s">
        <v>465</v>
      </c>
    </row>
    <row r="20" customFormat="false" ht="15" hidden="false" customHeight="false" outlineLevel="0" collapsed="false">
      <c r="A20" s="3" t="s">
        <v>466</v>
      </c>
    </row>
    <row r="22" customFormat="false" ht="18" hidden="false" customHeight="true" outlineLevel="0" collapsed="false">
      <c r="A22" s="4" t="s">
        <v>467</v>
      </c>
      <c r="B22" s="5"/>
      <c r="C22" s="5"/>
      <c r="D22" s="5"/>
      <c r="E22" s="5"/>
      <c r="F22" s="5"/>
      <c r="G22" s="5"/>
      <c r="H22" s="5"/>
      <c r="I22" s="5"/>
      <c r="J22" s="5"/>
      <c r="K22" s="5"/>
    </row>
    <row r="23" customFormat="false" ht="19.5" hidden="false" customHeight="true" outlineLevel="0" collapsed="false">
      <c r="A23" s="6" t="s">
        <v>468</v>
      </c>
      <c r="B23" s="6"/>
      <c r="C23" s="6"/>
      <c r="D23" s="6"/>
      <c r="E23" s="6"/>
      <c r="F23" s="6"/>
      <c r="G23" s="6"/>
      <c r="H23" s="6"/>
      <c r="I23" s="6"/>
      <c r="J23" s="6"/>
      <c r="K23" s="6"/>
    </row>
    <row r="24" customFormat="false" ht="19.5" hidden="false" customHeight="true" outlineLevel="0" collapsed="false">
      <c r="A24" s="6" t="s">
        <v>469</v>
      </c>
      <c r="B24" s="6"/>
      <c r="C24" s="6"/>
      <c r="D24" s="6"/>
      <c r="E24" s="6"/>
      <c r="F24" s="6"/>
      <c r="G24" s="6"/>
      <c r="H24" s="6"/>
      <c r="I24" s="6"/>
      <c r="J24" s="6"/>
      <c r="K24" s="6"/>
    </row>
    <row r="25" customFormat="false" ht="19.5" hidden="false" customHeight="true" outlineLevel="0" collapsed="false">
      <c r="A25" s="6" t="s">
        <v>470</v>
      </c>
      <c r="B25" s="6"/>
      <c r="C25" s="6"/>
      <c r="D25" s="6"/>
      <c r="E25" s="6"/>
      <c r="F25" s="6"/>
      <c r="G25" s="6"/>
      <c r="H25" s="6"/>
      <c r="I25" s="6"/>
      <c r="J25" s="6"/>
      <c r="K25" s="6"/>
    </row>
    <row r="26" customFormat="false" ht="19.5" hidden="false" customHeight="true" outlineLevel="0" collapsed="false">
      <c r="A26" s="6" t="s">
        <v>471</v>
      </c>
      <c r="B26" s="6"/>
      <c r="C26" s="6"/>
      <c r="D26" s="6"/>
      <c r="E26" s="6"/>
      <c r="F26" s="6"/>
      <c r="G26" s="6"/>
      <c r="H26" s="6"/>
      <c r="I26" s="6"/>
      <c r="J26" s="6"/>
      <c r="K26" s="6"/>
    </row>
    <row r="28" customFormat="false" ht="37.5" hidden="false" customHeight="true" outlineLevel="0" collapsed="false">
      <c r="A28" s="28" t="s">
        <v>472</v>
      </c>
      <c r="B28" s="28"/>
      <c r="C28" s="28"/>
      <c r="D28" s="28"/>
      <c r="E28" s="28"/>
      <c r="F28" s="28"/>
      <c r="G28" s="28"/>
      <c r="H28" s="28"/>
      <c r="I28" s="28"/>
      <c r="J28" s="28"/>
      <c r="K28" s="28"/>
    </row>
    <row r="29" customFormat="false" ht="37.5" hidden="false" customHeight="true" outlineLevel="0" collapsed="false">
      <c r="A29" s="29" t="s">
        <v>473</v>
      </c>
      <c r="B29" s="29"/>
      <c r="C29" s="29"/>
      <c r="D29" s="29"/>
      <c r="E29" s="29"/>
      <c r="F29" s="29"/>
      <c r="G29" s="29"/>
      <c r="H29" s="29"/>
      <c r="I29" s="29"/>
      <c r="J29" s="29"/>
      <c r="K29" s="29"/>
    </row>
    <row r="30" customFormat="false" ht="54" hidden="false" customHeight="true" outlineLevel="0" collapsed="false">
      <c r="A30" s="29" t="s">
        <v>474</v>
      </c>
      <c r="B30" s="29"/>
      <c r="C30" s="29"/>
      <c r="D30" s="29"/>
      <c r="E30" s="29"/>
      <c r="F30" s="29"/>
      <c r="G30" s="29"/>
      <c r="H30" s="29"/>
      <c r="I30" s="29"/>
      <c r="J30" s="29"/>
      <c r="K30" s="29"/>
    </row>
  </sheetData>
  <mergeCells count="7">
    <mergeCell ref="A23:K23"/>
    <mergeCell ref="A24:K24"/>
    <mergeCell ref="A25:K25"/>
    <mergeCell ref="A26:K26"/>
    <mergeCell ref="A28:K28"/>
    <mergeCell ref="A29:K29"/>
    <mergeCell ref="A30:K30"/>
  </mergeCells>
  <dataValidations count="1">
    <dataValidation allowBlank="true" errorStyle="stop" operator="between" showDropDown="false" showErrorMessage="false" showInputMessage="false" sqref="F7:F16" type="list">
      <formula1>"Yes,No"</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6"/>
    <col collapsed="false" customWidth="true" hidden="false" outlineLevel="0" max="4" min="3" style="0" width="14"/>
    <col collapsed="false" customWidth="true" hidden="false" outlineLevel="0" max="5" min="5" style="0" width="60"/>
  </cols>
  <sheetData>
    <row r="1" customFormat="false" ht="24" hidden="false" customHeight="true" outlineLevel="0" collapsed="false">
      <c r="A1" s="1" t="s">
        <v>475</v>
      </c>
    </row>
    <row r="2" customFormat="false" ht="15" hidden="false" customHeight="false" outlineLevel="0" collapsed="false">
      <c r="A2" s="2" t="s">
        <v>44</v>
      </c>
    </row>
    <row r="4" customFormat="false" ht="18" hidden="false" customHeight="true" outlineLevel="0" collapsed="false">
      <c r="A4" s="4" t="s">
        <v>476</v>
      </c>
      <c r="B4" s="5"/>
      <c r="C4" s="5"/>
      <c r="D4" s="5"/>
      <c r="E4" s="5"/>
    </row>
    <row r="5" customFormat="false" ht="27.75" hidden="false" customHeight="true" outlineLevel="0" collapsed="false">
      <c r="A5" s="7" t="s">
        <v>477</v>
      </c>
      <c r="B5" s="7" t="s">
        <v>478</v>
      </c>
      <c r="C5" s="7" t="s">
        <v>479</v>
      </c>
      <c r="D5" s="7"/>
      <c r="E5" s="7" t="s">
        <v>480</v>
      </c>
    </row>
    <row r="6" customFormat="false" ht="15" hidden="false" customHeight="false" outlineLevel="0" collapsed="false">
      <c r="A6" s="11" t="s">
        <v>481</v>
      </c>
      <c r="B6" s="12" t="n">
        <f aca="false">NOI_Cur+IF(Tax_PriceBased=1,Tax_Underwrite,0)</f>
        <v>0</v>
      </c>
      <c r="E6" s="17" t="s">
        <v>482</v>
      </c>
    </row>
    <row r="7" customFormat="false" ht="15" hidden="false" customHeight="false" outlineLevel="0" collapsed="false">
      <c r="A7" s="11" t="s">
        <v>483</v>
      </c>
      <c r="B7" s="24" t="n">
        <f aca="false">IF(Tax_PriceBased=1,Tax_EffOnPrice,0)</f>
        <v>0</v>
      </c>
    </row>
    <row r="8" customFormat="false" ht="15" hidden="false" customHeight="false" outlineLevel="0" collapsed="false">
      <c r="A8" s="11" t="s">
        <v>484</v>
      </c>
      <c r="B8" s="12" t="n">
        <f aca="false">IFERROR(NOI_PreTax/(Tax_T+BB_DSCR*DebtConstant*LTV),0)</f>
        <v>0</v>
      </c>
      <c r="C8" s="23" t="n">
        <f aca="false">IFERROR(B8/AskingPrice-1,0)</f>
        <v>0</v>
      </c>
      <c r="E8" s="17" t="s">
        <v>485</v>
      </c>
    </row>
    <row r="9" customFormat="false" ht="15" hidden="false" customHeight="false" outlineLevel="0" collapsed="false">
      <c r="A9" s="11" t="s">
        <v>486</v>
      </c>
      <c r="B9" s="12" t="n">
        <f aca="false">IFERROR((NOI_PreTax-BB_CoC*CapEx_Now)/(Tax_T+DebtConstant*LTV+BB_CoC*(DownPct+ClosingPct)),0)</f>
        <v>0</v>
      </c>
      <c r="C9" s="23" t="n">
        <f aca="false">IFERROR(B9/AskingPrice-1,0)</f>
        <v>0</v>
      </c>
      <c r="E9" s="17" t="s">
        <v>487</v>
      </c>
    </row>
    <row r="10" customFormat="false" ht="15" hidden="false" customHeight="false" outlineLevel="0" collapsed="false">
      <c r="A10" s="11" t="s">
        <v>488</v>
      </c>
      <c r="B10" s="12" t="n">
        <f aca="false">IFERROR(NOI_PreTax/(Tax_T+BB_CapCurrent),0)</f>
        <v>0</v>
      </c>
      <c r="C10" s="23" t="n">
        <f aca="false">IFERROR(B10/AskingPrice-1,0)</f>
        <v>0</v>
      </c>
      <c r="E10" s="17" t="s">
        <v>489</v>
      </c>
    </row>
    <row r="11" customFormat="false" ht="15" hidden="false" customHeight="false" outlineLevel="0" collapsed="false">
      <c r="A11" s="11" t="s">
        <v>490</v>
      </c>
      <c r="B11" s="12" t="str">
        <f aca="false">IF(N(BB_PPU)=0,"",BB_PPU*Units)</f>
        <v/>
      </c>
      <c r="C11" s="23" t="n">
        <f aca="false">IFERROR(B11/AskingPrice-1,0)</f>
        <v>0</v>
      </c>
      <c r="E11" s="17" t="s">
        <v>491</v>
      </c>
    </row>
    <row r="12" customFormat="false" ht="15" hidden="false" customHeight="false" outlineLevel="0" collapsed="false">
      <c r="A12" s="20" t="s">
        <v>492</v>
      </c>
      <c r="B12" s="31" t="n">
        <f aca="false">MIN(B8:B11)</f>
        <v>0</v>
      </c>
      <c r="C12" s="32" t="n">
        <f aca="false">IFERROR(WalkAway/AskingPrice-1,0)</f>
        <v>0</v>
      </c>
      <c r="E12" s="17" t="s">
        <v>493</v>
      </c>
    </row>
    <row r="13" customFormat="false" ht="15" hidden="false" customHeight="false" outlineLevel="0" collapsed="false">
      <c r="A13" s="11" t="s">
        <v>494</v>
      </c>
      <c r="B13" s="26" t="str">
        <f aca="false">IF(N(AskingPrice)=0,"",IF(WalkAway&lt;=0,"Does not pencil at any price",INDEX({"DSCR","Cash-on-cash","Cap rate","Price per unit"},MATCH(WalkAway,B8:B11,0))))</f>
        <v/>
      </c>
    </row>
    <row r="15" customFormat="false" ht="18" hidden="false" customHeight="true" outlineLevel="0" collapsed="false">
      <c r="A15" s="4" t="s">
        <v>495</v>
      </c>
      <c r="B15" s="5"/>
      <c r="C15" s="5"/>
      <c r="D15" s="5"/>
      <c r="E15" s="5"/>
    </row>
    <row r="16" customFormat="false" ht="27.75" hidden="false" customHeight="true" outlineLevel="0" collapsed="false">
      <c r="A16" s="7" t="s">
        <v>496</v>
      </c>
      <c r="B16" s="7" t="s">
        <v>497</v>
      </c>
      <c r="C16" s="7" t="s">
        <v>383</v>
      </c>
      <c r="D16" s="7"/>
      <c r="E16" s="7"/>
    </row>
    <row r="17" customFormat="false" ht="15" hidden="false" customHeight="false" outlineLevel="0" collapsed="false">
      <c r="A17" s="11" t="s">
        <v>498</v>
      </c>
      <c r="B17" s="12" t="n">
        <f aca="false">Tax_T*WalkAway+IF(Tax_PriceBased=1,0,Tax_Underwrite)</f>
        <v>0</v>
      </c>
    </row>
    <row r="18" customFormat="false" ht="15" hidden="false" customHeight="false" outlineLevel="0" collapsed="false">
      <c r="A18" s="11" t="s">
        <v>499</v>
      </c>
      <c r="B18" s="12" t="n">
        <f aca="false">NOI_PreTax-Tax_T*WalkAway</f>
        <v>0</v>
      </c>
    </row>
    <row r="19" customFormat="false" ht="15" hidden="false" customHeight="false" outlineLevel="0" collapsed="false">
      <c r="A19" s="11" t="s">
        <v>422</v>
      </c>
      <c r="B19" s="48" t="n">
        <f aca="false">IFERROR(B18/(DebtConstant*LTV*WalkAway),0)</f>
        <v>0</v>
      </c>
      <c r="C19" s="49" t="n">
        <f aca="false">BB_DSCR</f>
        <v>1.25</v>
      </c>
    </row>
    <row r="20" customFormat="false" ht="15" hidden="false" customHeight="false" outlineLevel="0" collapsed="false">
      <c r="A20" s="11" t="s">
        <v>424</v>
      </c>
      <c r="B20" s="23" t="n">
        <f aca="false">IFERROR((B18-DebtConstant*LTV*WalkAway)/(WalkAway*(DownPct+ClosingPct)+CapEx_Now),0)</f>
        <v>0</v>
      </c>
      <c r="C20" s="47" t="n">
        <f aca="false">BB_CoC</f>
        <v>0.08</v>
      </c>
    </row>
    <row r="21" customFormat="false" ht="15" hidden="false" customHeight="false" outlineLevel="0" collapsed="false">
      <c r="A21" s="11" t="s">
        <v>500</v>
      </c>
      <c r="B21" s="23" t="n">
        <f aca="false">IFERROR(B18/WalkAway,0)</f>
        <v>0</v>
      </c>
      <c r="C21" s="47" t="n">
        <f aca="false">BB_CapCurrent</f>
        <v>0.06</v>
      </c>
    </row>
    <row r="22" customFormat="false" ht="15" hidden="false" customHeight="false" outlineLevel="0" collapsed="false">
      <c r="A22" s="17" t="s">
        <v>501</v>
      </c>
    </row>
    <row r="24" customFormat="false" ht="18" hidden="false" customHeight="true" outlineLevel="0" collapsed="false">
      <c r="A24" s="4" t="s">
        <v>502</v>
      </c>
      <c r="B24" s="5"/>
      <c r="C24" s="5"/>
      <c r="D24" s="5"/>
      <c r="E24" s="5"/>
    </row>
    <row r="25" customFormat="false" ht="27.75" hidden="false" customHeight="true" outlineLevel="0" collapsed="false">
      <c r="A25" s="7" t="s">
        <v>503</v>
      </c>
      <c r="B25" s="7" t="s">
        <v>504</v>
      </c>
      <c r="C25" s="7" t="s">
        <v>505</v>
      </c>
      <c r="D25" s="7" t="s">
        <v>506</v>
      </c>
      <c r="E25" s="7" t="s">
        <v>507</v>
      </c>
    </row>
    <row r="26" customFormat="false" ht="15" hidden="false" customHeight="false" outlineLevel="0" collapsed="false">
      <c r="A26" s="26" t="s">
        <v>508</v>
      </c>
      <c r="B26" s="54" t="n">
        <f aca="false">DOM</f>
        <v>0</v>
      </c>
      <c r="C26" s="18" t="n">
        <v>47</v>
      </c>
      <c r="D26" s="26" t="str">
        <f aca="false">IF(OR(B26="",C26=""),"",IF(B26&gt;C26,"Yes","No"))</f>
        <v/>
      </c>
      <c r="E26" s="17" t="s">
        <v>509</v>
      </c>
    </row>
    <row r="27" customFormat="false" ht="15" hidden="false" customHeight="false" outlineLevel="0" collapsed="false">
      <c r="A27" s="26" t="s">
        <v>510</v>
      </c>
      <c r="B27" s="16"/>
      <c r="D27" s="26" t="str">
        <f aca="false">IF(N(B27)&gt;0,"Yes","No")</f>
        <v>No</v>
      </c>
      <c r="E27" s="17"/>
    </row>
    <row r="28" customFormat="false" ht="15" hidden="false" customHeight="false" outlineLevel="0" collapsed="false">
      <c r="A28" s="26" t="s">
        <v>511</v>
      </c>
      <c r="B28" s="16"/>
      <c r="D28" s="26" t="str">
        <f aca="false">IF(B28="Yes","Yes","No")</f>
        <v>No</v>
      </c>
      <c r="E28" s="17"/>
    </row>
    <row r="29" customFormat="false" ht="15" hidden="false" customHeight="false" outlineLevel="0" collapsed="false">
      <c r="A29" s="26" t="s">
        <v>512</v>
      </c>
      <c r="B29" s="16"/>
      <c r="D29" s="26" t="str">
        <f aca="false">IF(B29="Yes","Yes","No")</f>
        <v>No</v>
      </c>
      <c r="E29" s="17" t="s">
        <v>513</v>
      </c>
    </row>
    <row r="30" customFormat="false" ht="15" hidden="false" customHeight="false" outlineLevel="0" collapsed="false">
      <c r="A30" s="26" t="s">
        <v>514</v>
      </c>
      <c r="B30" s="16"/>
      <c r="C30" s="18" t="n">
        <v>10</v>
      </c>
      <c r="D30" s="26" t="str">
        <f aca="false">IF(N(B30)&gt;=C30,"Yes","No")</f>
        <v>No</v>
      </c>
      <c r="E30" s="17" t="s">
        <v>515</v>
      </c>
    </row>
    <row r="31" customFormat="false" ht="15" hidden="false" customHeight="false" outlineLevel="0" collapsed="false">
      <c r="A31" s="26" t="s">
        <v>516</v>
      </c>
      <c r="B31" s="54" t="n">
        <f aca="false">COUNTIF('2 Rents'!G6:G25,"Vacant")</f>
        <v>0</v>
      </c>
      <c r="D31" s="26" t="str">
        <f aca="false">IF(N(B31)&gt;0,"Yes","No")</f>
        <v>No</v>
      </c>
      <c r="E31" s="17"/>
    </row>
    <row r="32" customFormat="false" ht="15" hidden="false" customHeight="false" outlineLevel="0" collapsed="false">
      <c r="A32" s="26" t="s">
        <v>517</v>
      </c>
      <c r="B32" s="47" t="n">
        <f aca="false">RentGap_Pct</f>
        <v>0</v>
      </c>
      <c r="C32" s="21" t="n">
        <v>0.1</v>
      </c>
      <c r="D32" s="26" t="str">
        <f aca="false">IF(N(B32)&gt;=C32,"Yes","No")</f>
        <v>No</v>
      </c>
      <c r="E32" s="17" t="s">
        <v>518</v>
      </c>
    </row>
    <row r="33" customFormat="false" ht="15" hidden="false" customHeight="false" outlineLevel="0" collapsed="false">
      <c r="A33" s="26" t="s">
        <v>519</v>
      </c>
      <c r="B33" s="16"/>
      <c r="D33" s="26" t="str">
        <f aca="false">IF(B33="Yes","Yes","No")</f>
        <v>No</v>
      </c>
      <c r="E33" s="17" t="s">
        <v>520</v>
      </c>
    </row>
    <row r="34" customFormat="false" ht="15" hidden="false" customHeight="false" outlineLevel="0" collapsed="false">
      <c r="A34" s="20" t="s">
        <v>521</v>
      </c>
      <c r="D34" s="53" t="str">
        <f aca="false">COUNTIF(D26:D33,"Yes")&amp;" of 8"</f>
        <v>0 of 8</v>
      </c>
    </row>
    <row r="36" customFormat="false" ht="15" hidden="false" customHeight="false" outlineLevel="0" collapsed="false">
      <c r="A36" s="26" t="s">
        <v>522</v>
      </c>
      <c r="B36" s="21" t="n">
        <v>1.018</v>
      </c>
      <c r="D36" s="26" t="str">
        <f aca="false">IF(B36="","",IF(B36&lt;0.98,"Buyer-leaning",IF(B36&gt;1,"Seller-leaning","Balanced")))</f>
        <v>Seller-leaning</v>
      </c>
      <c r="E36" s="17" t="s">
        <v>523</v>
      </c>
    </row>
    <row r="37" customFormat="false" ht="15" hidden="false" customHeight="false" outlineLevel="0" collapsed="false">
      <c r="A37" s="26" t="s">
        <v>524</v>
      </c>
      <c r="B37" s="55"/>
      <c r="D37" s="26" t="str">
        <f aca="false">IF(B37="","",IF(B37&gt;6,"Buyer-leaning",IF(B37&lt;4,"Seller-leaning","Balanced")))</f>
        <v/>
      </c>
      <c r="E37" s="17" t="s">
        <v>525</v>
      </c>
    </row>
    <row r="38" customFormat="false" ht="15" hidden="false" customHeight="false" outlineLevel="0" collapsed="false">
      <c r="A38" s="26" t="s">
        <v>526</v>
      </c>
      <c r="B38" s="21"/>
      <c r="E38" s="17" t="s">
        <v>527</v>
      </c>
    </row>
    <row r="39" customFormat="false" ht="15" hidden="false" customHeight="false" outlineLevel="0" collapsed="false">
      <c r="A39" s="53" t="s">
        <v>528</v>
      </c>
      <c r="B39" s="13" t="n">
        <f aca="false">CapEx_NewFindings</f>
        <v>0</v>
      </c>
      <c r="E39" s="17" t="s">
        <v>529</v>
      </c>
    </row>
    <row r="41" customFormat="false" ht="18" hidden="false" customHeight="true" outlineLevel="0" collapsed="false">
      <c r="A41" s="4" t="s">
        <v>530</v>
      </c>
      <c r="B41" s="5"/>
      <c r="C41" s="5"/>
      <c r="D41" s="5"/>
      <c r="E41" s="5"/>
    </row>
    <row r="42" customFormat="false" ht="15" hidden="false" customHeight="false" outlineLevel="0" collapsed="false">
      <c r="A42" s="11" t="s">
        <v>531</v>
      </c>
      <c r="B42" s="10" t="n">
        <f aca="false">ROUND(MIN(WalkAway,AskingPrice)*0.95,-3)</f>
        <v>0</v>
      </c>
      <c r="C42" s="23" t="n">
        <f aca="false">IFERROR(OfferOpen/AskingPrice-1,0)</f>
        <v>0</v>
      </c>
      <c r="E42" s="17" t="s">
        <v>532</v>
      </c>
    </row>
    <row r="43" customFormat="false" ht="15" hidden="false" customHeight="false" outlineLevel="0" collapsed="false">
      <c r="A43" s="11" t="s">
        <v>533</v>
      </c>
      <c r="B43" s="10" t="n">
        <f aca="false">ROUND(MIN(WalkAway,AskingPrice),-3)</f>
        <v>0</v>
      </c>
      <c r="C43" s="23" t="n">
        <f aca="false">IFERROR(OfferTarget/AskingPrice-1,0)</f>
        <v>0</v>
      </c>
    </row>
    <row r="44" customFormat="false" ht="15" hidden="false" customHeight="false" outlineLevel="0" collapsed="false">
      <c r="A44" s="20" t="s">
        <v>534</v>
      </c>
      <c r="B44" s="56" t="n">
        <f aca="false">WalkAway</f>
        <v>0</v>
      </c>
      <c r="C44" s="23" t="n">
        <f aca="false">IFERROR(WalkAway/AskingPrice-1,0)</f>
        <v>0</v>
      </c>
    </row>
    <row r="45" customFormat="false" ht="15" hidden="false" customHeight="false" outlineLevel="0" collapsed="false">
      <c r="A45" s="11" t="s">
        <v>535</v>
      </c>
      <c r="B45" s="13" t="n">
        <f aca="false">CreditAsk</f>
        <v>0</v>
      </c>
    </row>
    <row r="46" customFormat="false" ht="15" hidden="false" customHeight="false" outlineLevel="0" collapsed="false">
      <c r="A46" s="20" t="s">
        <v>536</v>
      </c>
      <c r="B46" s="35" t="n">
        <f aca="false">AskingPrice-WalkAway</f>
        <v>0</v>
      </c>
      <c r="E46" s="26" t="str">
        <f aca="false">IF(N(AskingPrice)=0,"",IF(Ask_Gap&lt;=0,"The asking price fits your buy box.",IF(Ask_Gap/AskingPrice&gt;0.1,"A big gap. Either the price, the structure (below), or your plan has to change. Or you pass.","Close enough to negotiate with evidence.")))</f>
        <v/>
      </c>
    </row>
    <row r="48" customFormat="false" ht="18" hidden="false" customHeight="true" outlineLevel="0" collapsed="false">
      <c r="A48" s="4" t="s">
        <v>537</v>
      </c>
      <c r="B48" s="5"/>
      <c r="C48" s="5"/>
      <c r="D48" s="5"/>
      <c r="E48" s="5"/>
    </row>
    <row r="49" customFormat="false" ht="15" hidden="false" customHeight="false" outlineLevel="0" collapsed="false">
      <c r="A49" s="11" t="s">
        <v>80</v>
      </c>
      <c r="B49" s="22"/>
    </row>
    <row r="50" customFormat="false" ht="15" hidden="false" customHeight="false" outlineLevel="0" collapsed="false">
      <c r="A50" s="11" t="s">
        <v>82</v>
      </c>
      <c r="B50" s="18"/>
    </row>
    <row r="51" customFormat="false" ht="15" hidden="false" customHeight="false" outlineLevel="0" collapsed="false">
      <c r="A51" s="11" t="s">
        <v>538</v>
      </c>
      <c r="B51" s="16"/>
    </row>
    <row r="52" customFormat="false" ht="15" hidden="false" customHeight="false" outlineLevel="0" collapsed="false">
      <c r="A52" s="11" t="s">
        <v>78</v>
      </c>
      <c r="B52" s="21"/>
    </row>
    <row r="53" customFormat="false" ht="15" hidden="false" customHeight="false" outlineLevel="0" collapsed="false">
      <c r="A53" s="11" t="s">
        <v>539</v>
      </c>
      <c r="B53" s="24" t="n">
        <f aca="false">IF(Alt_IO="Yes",Alt_Rate,IFERROR(-PMT(Alt_Rate/12,Alt_Amort*12,1)*12,0))</f>
        <v>0</v>
      </c>
    </row>
    <row r="54" customFormat="false" ht="15" hidden="false" customHeight="false" outlineLevel="0" collapsed="false">
      <c r="A54" s="11" t="s">
        <v>540</v>
      </c>
      <c r="B54" s="12" t="n">
        <f aca="false">IFERROR(NOI_PreTax/(Tax_T+BB_DSCR*Alt_K*(1-Alt_Down)),0)</f>
        <v>0</v>
      </c>
    </row>
    <row r="55" customFormat="false" ht="15" hidden="false" customHeight="false" outlineLevel="0" collapsed="false">
      <c r="A55" s="11" t="s">
        <v>541</v>
      </c>
      <c r="B55" s="12" t="n">
        <f aca="false">IFERROR((NOI_PreTax-BB_CoC*CapEx_Now)/(Tax_T+Alt_K*(1-Alt_Down)+BB_CoC*(Alt_Down+ClosingPct)),0)</f>
        <v>0</v>
      </c>
    </row>
    <row r="56" customFormat="false" ht="15" hidden="false" customHeight="false" outlineLevel="0" collapsed="false">
      <c r="A56" s="20" t="s">
        <v>542</v>
      </c>
      <c r="B56" s="31" t="str">
        <f aca="false">IF(N(Alt_Rate)=0,"",MIN(Alt_MaxDSCR,Alt_MaxCoC,MaxP_Cap,MaxP_PPU))</f>
        <v/>
      </c>
      <c r="C56" s="32" t="n">
        <f aca="false">IFERROR(Alt_WalkAway/AskingPrice-1,0)</f>
        <v>0</v>
      </c>
      <c r="E56" s="17" t="s">
        <v>543</v>
      </c>
    </row>
  </sheetData>
  <dataValidations count="3">
    <dataValidation allowBlank="true" errorStyle="stop" operator="between" showDropDown="false" showErrorMessage="false" showInputMessage="false" sqref="B28:B29" type="list">
      <formula1>"Yes,No"</formula1>
      <formula2>0</formula2>
    </dataValidation>
    <dataValidation allowBlank="true" errorStyle="stop" operator="between" showDropDown="false" showErrorMessage="false" showInputMessage="false" sqref="B33" type="list">
      <formula1>"Yes,No"</formula1>
      <formula2>0</formula2>
    </dataValidation>
    <dataValidation allowBlank="true" errorStyle="stop" operator="between" showDropDown="false" showErrorMessage="false" showInputMessage="false" sqref="B51" type="list">
      <formula1>"Yes,No"</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4"/>
    <col collapsed="false" customWidth="true" hidden="false" outlineLevel="0" max="4" min="4" style="0" width="4"/>
    <col collapsed="false" customWidth="true" hidden="false" outlineLevel="0" max="5" min="5" style="0" width="30"/>
    <col collapsed="false" customWidth="true" hidden="false" outlineLevel="0" max="7" min="6" style="0" width="14"/>
  </cols>
  <sheetData>
    <row r="1" customFormat="false" ht="19.7" hidden="false" customHeight="false" outlineLevel="0" collapsed="false">
      <c r="A1" s="1" t="s">
        <v>544</v>
      </c>
    </row>
    <row r="2" customFormat="false" ht="15" hidden="false" customHeight="false" outlineLevel="0" collapsed="false">
      <c r="A2" s="57" t="str">
        <f aca="false">IF('1 Deal'!B5="","(enter the address on tab 1)",'1 Deal'!B5&amp;IF('1 Deal'!B6="","",", "&amp;'1 Deal'!B6))</f>
        <v>(enter the address on tab 1)</v>
      </c>
    </row>
    <row r="3" customFormat="false" ht="15" hidden="false" customHeight="false" outlineLevel="0" collapsed="false">
      <c r="A3" s="58" t="str">
        <f aca="false">IF(N(AskingPrice)=0,"",Units&amp;" units  |  built "&amp;YearBuilt&amp;"  |  asking "&amp;TEXT(AskingPrice,"$#,##0")&amp;"  |  "&amp;DOM&amp;" days on market")</f>
        <v/>
      </c>
    </row>
    <row r="5" customFormat="false" ht="18" hidden="false" customHeight="true" outlineLevel="0" collapsed="false">
      <c r="A5" s="4" t="s">
        <v>545</v>
      </c>
      <c r="B5" s="5"/>
      <c r="C5" s="5"/>
      <c r="E5" s="4" t="s">
        <v>546</v>
      </c>
      <c r="F5" s="5"/>
      <c r="G5" s="5"/>
    </row>
    <row r="6" customFormat="false" ht="27.75" hidden="false" customHeight="true" outlineLevel="0" collapsed="false">
      <c r="A6" s="7"/>
      <c r="B6" s="7" t="s">
        <v>547</v>
      </c>
      <c r="C6" s="7" t="s">
        <v>382</v>
      </c>
      <c r="E6" s="7" t="s">
        <v>380</v>
      </c>
      <c r="F6" s="7" t="s">
        <v>547</v>
      </c>
      <c r="G6" s="7" t="s">
        <v>383</v>
      </c>
    </row>
    <row r="7" customFormat="false" ht="15" hidden="false" customHeight="false" outlineLevel="0" collapsed="false">
      <c r="A7" s="11" t="s">
        <v>548</v>
      </c>
      <c r="B7" s="13" t="n">
        <f aca="false">GPR_Cur</f>
        <v>0</v>
      </c>
      <c r="C7" s="13" t="n">
        <f aca="false">GPR_Stab</f>
        <v>0</v>
      </c>
      <c r="E7" s="11" t="s">
        <v>388</v>
      </c>
      <c r="F7" s="13" t="n">
        <f aca="false">PPU</f>
        <v>0</v>
      </c>
      <c r="G7" s="13" t="n">
        <f aca="false">BB_PPU</f>
        <v>0</v>
      </c>
    </row>
    <row r="8" customFormat="false" ht="15" hidden="false" customHeight="false" outlineLevel="0" collapsed="false">
      <c r="A8" s="11" t="s">
        <v>549</v>
      </c>
      <c r="B8" s="13" t="n">
        <f aca="false">Other_Cur</f>
        <v>0</v>
      </c>
      <c r="C8" s="13" t="n">
        <f aca="false">Other_Stab</f>
        <v>0</v>
      </c>
      <c r="E8" s="11" t="s">
        <v>500</v>
      </c>
      <c r="F8" s="47" t="n">
        <f aca="false">Cap_Cur</f>
        <v>0</v>
      </c>
      <c r="G8" s="47" t="n">
        <f aca="false">BB_CapCurrent</f>
        <v>0.06</v>
      </c>
    </row>
    <row r="9" customFormat="false" ht="15" hidden="false" customHeight="false" outlineLevel="0" collapsed="false">
      <c r="A9" s="11" t="s">
        <v>550</v>
      </c>
      <c r="B9" s="13" t="n">
        <f aca="false">'3 Expenses'!E9</f>
        <v>-0</v>
      </c>
      <c r="C9" s="13" t="n">
        <f aca="false">'3 Expenses'!F9</f>
        <v>-0</v>
      </c>
      <c r="E9" s="11" t="s">
        <v>551</v>
      </c>
      <c r="F9" s="47" t="n">
        <f aca="false">Cap_Stab</f>
        <v>0</v>
      </c>
      <c r="G9" s="47" t="n">
        <f aca="false">BB_CapStab</f>
        <v>0.07</v>
      </c>
    </row>
    <row r="10" customFormat="false" ht="15" hidden="false" customHeight="false" outlineLevel="0" collapsed="false">
      <c r="A10" s="20" t="s">
        <v>392</v>
      </c>
      <c r="B10" s="56" t="n">
        <f aca="false">EGI_Cur</f>
        <v>0</v>
      </c>
      <c r="C10" s="56" t="n">
        <f aca="false">EGI_Stab</f>
        <v>0</v>
      </c>
      <c r="E10" s="11" t="s">
        <v>422</v>
      </c>
      <c r="F10" s="49" t="n">
        <f aca="false">DSCR_Cur</f>
        <v>0</v>
      </c>
      <c r="G10" s="49" t="n">
        <f aca="false">BB_DSCR</f>
        <v>1.25</v>
      </c>
    </row>
    <row r="11" customFormat="false" ht="15" hidden="false" customHeight="false" outlineLevel="0" collapsed="false">
      <c r="A11" s="11" t="s">
        <v>393</v>
      </c>
      <c r="B11" s="13" t="n">
        <f aca="false">-OpEx_Cur</f>
        <v>-0</v>
      </c>
      <c r="C11" s="13" t="n">
        <f aca="false">-OpEx_Stab</f>
        <v>-0</v>
      </c>
      <c r="E11" s="11" t="s">
        <v>424</v>
      </c>
      <c r="F11" s="47" t="n">
        <f aca="false">CoC_Cur</f>
        <v>0</v>
      </c>
      <c r="G11" s="47" t="n">
        <f aca="false">BB_CoC</f>
        <v>0.08</v>
      </c>
    </row>
    <row r="12" customFormat="false" ht="15" hidden="false" customHeight="false" outlineLevel="0" collapsed="false">
      <c r="A12" s="20" t="s">
        <v>552</v>
      </c>
      <c r="B12" s="56" t="n">
        <f aca="false">NOI_Cur</f>
        <v>0</v>
      </c>
      <c r="C12" s="56" t="n">
        <f aca="false">NOI_Stab</f>
        <v>0</v>
      </c>
      <c r="E12" s="11" t="s">
        <v>553</v>
      </c>
      <c r="F12" s="47" t="n">
        <f aca="false">YoC_Cur</f>
        <v>0</v>
      </c>
      <c r="G12" s="47" t="n">
        <f aca="false">BB_CapCurrent</f>
        <v>0.06</v>
      </c>
    </row>
    <row r="13" customFormat="false" ht="15" hidden="false" customHeight="false" outlineLevel="0" collapsed="false">
      <c r="A13" s="11" t="s">
        <v>421</v>
      </c>
      <c r="B13" s="13" t="n">
        <f aca="false">-DebtService</f>
        <v>-0</v>
      </c>
      <c r="C13" s="13" t="n">
        <f aca="false">-DebtService</f>
        <v>-0</v>
      </c>
      <c r="E13" s="11" t="s">
        <v>403</v>
      </c>
      <c r="F13" s="47" t="n">
        <f aca="false">BEO_Cur</f>
        <v>0</v>
      </c>
    </row>
    <row r="14" customFormat="false" ht="15" hidden="false" customHeight="false" outlineLevel="0" collapsed="false">
      <c r="A14" s="20" t="s">
        <v>423</v>
      </c>
      <c r="B14" s="56" t="n">
        <f aca="false">CF_Cur</f>
        <v>0</v>
      </c>
      <c r="C14" s="56" t="n">
        <f aca="false">CF_Stab</f>
        <v>0</v>
      </c>
      <c r="E14" s="11" t="s">
        <v>554</v>
      </c>
      <c r="F14" s="13" t="n">
        <f aca="false">CashIn_Cur</f>
        <v>0</v>
      </c>
    </row>
    <row r="15" customFormat="false" ht="15" hidden="false" customHeight="false" outlineLevel="0" collapsed="false">
      <c r="E15" s="17" t="s">
        <v>555</v>
      </c>
    </row>
    <row r="16" customFormat="false" ht="18" hidden="false" customHeight="true" outlineLevel="0" collapsed="false">
      <c r="A16" s="4" t="s">
        <v>556</v>
      </c>
      <c r="B16" s="5"/>
      <c r="C16" s="5"/>
      <c r="E16" s="4" t="s">
        <v>557</v>
      </c>
      <c r="F16" s="5"/>
      <c r="G16" s="5"/>
    </row>
    <row r="17" customFormat="false" ht="15" hidden="false" customHeight="false" outlineLevel="0" collapsed="false">
      <c r="A17" s="11" t="s">
        <v>558</v>
      </c>
      <c r="B17" s="13" t="n">
        <f aca="false">Tax_SellerBill</f>
        <v>0</v>
      </c>
      <c r="E17" s="11" t="s">
        <v>559</v>
      </c>
      <c r="F17" s="13" t="n">
        <f aca="false">VA_TotalIncome</f>
        <v>0</v>
      </c>
    </row>
    <row r="18" customFormat="false" ht="15" hidden="false" customHeight="false" outlineLevel="0" collapsed="false">
      <c r="A18" s="11" t="s">
        <v>560</v>
      </c>
      <c r="B18" s="13" t="n">
        <f aca="false">Tax_Underwrite</f>
        <v>0</v>
      </c>
      <c r="E18" s="11" t="s">
        <v>561</v>
      </c>
      <c r="F18" s="13" t="n">
        <f aca="false">VA_Cost</f>
        <v>0</v>
      </c>
    </row>
    <row r="19" customFormat="false" ht="15" hidden="false" customHeight="false" outlineLevel="0" collapsed="false">
      <c r="A19" s="11" t="s">
        <v>562</v>
      </c>
      <c r="B19" s="13" t="n">
        <f aca="false">CapEx_Now</f>
        <v>0</v>
      </c>
      <c r="E19" s="11" t="s">
        <v>563</v>
      </c>
      <c r="F19" s="13" t="n">
        <f aca="false">VA_Value</f>
        <v>0</v>
      </c>
    </row>
    <row r="20" customFormat="false" ht="15" hidden="false" customHeight="false" outlineLevel="0" collapsed="false">
      <c r="A20" s="11" t="s">
        <v>564</v>
      </c>
      <c r="B20" s="13" t="n">
        <f aca="false">CapEx_Soon</f>
        <v>0</v>
      </c>
      <c r="E20" s="11" t="s">
        <v>531</v>
      </c>
      <c r="F20" s="13" t="n">
        <f aca="false">OfferOpen</f>
        <v>0</v>
      </c>
    </row>
    <row r="21" customFormat="false" ht="15" hidden="false" customHeight="false" outlineLevel="0" collapsed="false">
      <c r="A21" s="11" t="s">
        <v>565</v>
      </c>
      <c r="B21" s="54" t="n">
        <f aca="false">DD_Issues</f>
        <v>0</v>
      </c>
      <c r="E21" s="11" t="s">
        <v>533</v>
      </c>
      <c r="F21" s="13" t="n">
        <f aca="false">OfferTarget</f>
        <v>0</v>
      </c>
    </row>
    <row r="22" customFormat="false" ht="15" hidden="false" customHeight="false" outlineLevel="0" collapsed="false">
      <c r="A22" s="11" t="s">
        <v>566</v>
      </c>
      <c r="B22" s="54" t="n">
        <f aca="false">DD_Open</f>
        <v>16</v>
      </c>
      <c r="E22" s="20" t="s">
        <v>567</v>
      </c>
      <c r="F22" s="56" t="n">
        <f aca="false">WalkAway</f>
        <v>0</v>
      </c>
    </row>
    <row r="23" customFormat="false" ht="15" hidden="false" customHeight="false" outlineLevel="0" collapsed="false">
      <c r="E23" s="11" t="s">
        <v>568</v>
      </c>
      <c r="F23" s="13" t="n">
        <f aca="false">CreditAsk</f>
        <v>0</v>
      </c>
    </row>
    <row r="25" customFormat="false" ht="18" hidden="false" customHeight="true" outlineLevel="0" collapsed="false">
      <c r="A25" s="4" t="s">
        <v>569</v>
      </c>
      <c r="B25" s="5"/>
      <c r="C25" s="5"/>
      <c r="D25" s="5"/>
      <c r="E25" s="5"/>
      <c r="F25" s="5"/>
      <c r="G25" s="5"/>
    </row>
    <row r="26" customFormat="false" ht="15" hidden="false" customHeight="false" outlineLevel="0" collapsed="false">
      <c r="A26" s="11" t="s">
        <v>17</v>
      </c>
      <c r="B26" s="16" t="s">
        <v>570</v>
      </c>
      <c r="E26" s="11" t="s">
        <v>571</v>
      </c>
      <c r="F26" s="16" t="s">
        <v>570</v>
      </c>
    </row>
    <row r="27" customFormat="false" ht="15" hidden="false" customHeight="false" outlineLevel="0" collapsed="false">
      <c r="A27" s="11" t="s">
        <v>21</v>
      </c>
      <c r="B27" s="16" t="s">
        <v>570</v>
      </c>
      <c r="E27" s="11" t="s">
        <v>572</v>
      </c>
      <c r="F27" s="16" t="s">
        <v>570</v>
      </c>
    </row>
    <row r="28" customFormat="false" ht="15" hidden="false" customHeight="false" outlineLevel="0" collapsed="false">
      <c r="A28" s="11" t="s">
        <v>573</v>
      </c>
      <c r="B28" s="16" t="s">
        <v>570</v>
      </c>
      <c r="E28" s="11" t="s">
        <v>574</v>
      </c>
      <c r="F28" s="16" t="s">
        <v>570</v>
      </c>
    </row>
    <row r="29" customFormat="false" ht="15" hidden="false" customHeight="false" outlineLevel="0" collapsed="false">
      <c r="A29" s="11" t="s">
        <v>575</v>
      </c>
      <c r="B29" s="16" t="s">
        <v>570</v>
      </c>
      <c r="E29" s="11" t="s">
        <v>41</v>
      </c>
      <c r="F29" s="16" t="s">
        <v>570</v>
      </c>
    </row>
    <row r="31" customFormat="false" ht="18" hidden="false" customHeight="true" outlineLevel="0" collapsed="false">
      <c r="A31" s="4" t="s">
        <v>576</v>
      </c>
      <c r="B31" s="5"/>
      <c r="C31" s="5"/>
      <c r="D31" s="5"/>
      <c r="E31" s="5"/>
      <c r="F31" s="5"/>
      <c r="G31" s="5"/>
    </row>
    <row r="32" customFormat="false" ht="15" hidden="false" customHeight="false" outlineLevel="0" collapsed="false">
      <c r="A32" s="20" t="s">
        <v>577</v>
      </c>
      <c r="B32" s="16"/>
      <c r="C32" s="16"/>
    </row>
    <row r="33" customFormat="false" ht="21.75" hidden="false" customHeight="true" outlineLevel="0" collapsed="false">
      <c r="A33" s="20" t="s">
        <v>578</v>
      </c>
      <c r="B33" s="59"/>
      <c r="C33" s="59"/>
      <c r="D33" s="59"/>
      <c r="E33" s="59"/>
      <c r="F33" s="59"/>
      <c r="G33" s="59"/>
    </row>
    <row r="34" customFormat="false" ht="21.75" hidden="false" customHeight="true" outlineLevel="0" collapsed="false">
      <c r="B34" s="59"/>
      <c r="C34" s="59"/>
      <c r="D34" s="59"/>
      <c r="E34" s="59"/>
      <c r="F34" s="59"/>
      <c r="G34" s="59"/>
    </row>
    <row r="36" customFormat="false" ht="15" hidden="false" customHeight="false" outlineLevel="0" collapsed="false">
      <c r="A36" s="17" t="s">
        <v>579</v>
      </c>
    </row>
  </sheetData>
  <mergeCells count="2">
    <mergeCell ref="B32:C32"/>
    <mergeCell ref="B33:G34"/>
  </mergeCells>
  <conditionalFormatting sqref="F7">
    <cfRule type="expression" priority="2" aboveAverage="0" equalAverage="0" bottom="0" percent="0" rank="0" text="" dxfId="3">
      <formula>AND(N(AskingPrice)&gt;0,N(G7)&gt;0,F7&gt;G7)</formula>
    </cfRule>
    <cfRule type="expression" priority="3" aboveAverage="0" equalAverage="0" bottom="0" percent="0" rank="0" text="" dxfId="2">
      <formula>AND(N(AskingPrice)&gt;0,N(G7)&gt;0,F7&lt;=G7)</formula>
    </cfRule>
  </conditionalFormatting>
  <conditionalFormatting sqref="F8">
    <cfRule type="expression" priority="4" aboveAverage="0" equalAverage="0" bottom="0" percent="0" rank="0" text="" dxfId="3">
      <formula>AND(N(AskingPrice)&gt;0,N(G8)&gt;0,F8&lt;G8)</formula>
    </cfRule>
    <cfRule type="expression" priority="5" aboveAverage="0" equalAverage="0" bottom="0" percent="0" rank="0" text="" dxfId="2">
      <formula>AND(N(AskingPrice)&gt;0,N(G8)&gt;0,F8&gt;=G8)</formula>
    </cfRule>
  </conditionalFormatting>
  <conditionalFormatting sqref="F9">
    <cfRule type="expression" priority="6" aboveAverage="0" equalAverage="0" bottom="0" percent="0" rank="0" text="" dxfId="3">
      <formula>AND(N(AskingPrice)&gt;0,N(G9)&gt;0,F9&lt;G9)</formula>
    </cfRule>
    <cfRule type="expression" priority="7" aboveAverage="0" equalAverage="0" bottom="0" percent="0" rank="0" text="" dxfId="2">
      <formula>AND(N(AskingPrice)&gt;0,N(G9)&gt;0,F9&gt;=G9)</formula>
    </cfRule>
  </conditionalFormatting>
  <conditionalFormatting sqref="F10">
    <cfRule type="expression" priority="8" aboveAverage="0" equalAverage="0" bottom="0" percent="0" rank="0" text="" dxfId="3">
      <formula>AND(N(AskingPrice)&gt;0,N(G10)&gt;0,F10&lt;G10)</formula>
    </cfRule>
    <cfRule type="expression" priority="9" aboveAverage="0" equalAverage="0" bottom="0" percent="0" rank="0" text="" dxfId="2">
      <formula>AND(N(AskingPrice)&gt;0,N(G10)&gt;0,F10&gt;=G10)</formula>
    </cfRule>
  </conditionalFormatting>
  <conditionalFormatting sqref="F11">
    <cfRule type="expression" priority="10" aboveAverage="0" equalAverage="0" bottom="0" percent="0" rank="0" text="" dxfId="3">
      <formula>AND(N(AskingPrice)&gt;0,N(G11)&gt;0,F11&lt;G11)</formula>
    </cfRule>
    <cfRule type="expression" priority="11" aboveAverage="0" equalAverage="0" bottom="0" percent="0" rank="0" text="" dxfId="2">
      <formula>AND(N(AskingPrice)&gt;0,N(G11)&gt;0,F11&gt;=G11)</formula>
    </cfRule>
  </conditionalFormatting>
  <conditionalFormatting sqref="F12">
    <cfRule type="expression" priority="12" aboveAverage="0" equalAverage="0" bottom="0" percent="0" rank="0" text="" dxfId="3">
      <formula>AND(N(AskingPrice)&gt;0,N(G12)&gt;0,F12&lt;G12)</formula>
    </cfRule>
    <cfRule type="expression" priority="13" aboveAverage="0" equalAverage="0" bottom="0" percent="0" rank="0" text="" dxfId="2">
      <formula>AND(N(AskingPrice)&gt;0,N(G12)&gt;0,F12&gt;=G12)</formula>
    </cfRule>
  </conditionalFormatting>
  <conditionalFormatting sqref="B26:B29">
    <cfRule type="cellIs" priority="14" operator="equal" aboveAverage="0" equalAverage="0" bottom="0" percent="0" rank="0" text="" dxfId="0">
      <formula>"Open"</formula>
    </cfRule>
  </conditionalFormatting>
  <conditionalFormatting sqref="F26:F29">
    <cfRule type="cellIs" priority="15" operator="equal" aboveAverage="0" equalAverage="0" bottom="0" percent="0" rank="0" text="" dxfId="0">
      <formula>"Open"</formula>
    </cfRule>
  </conditionalFormatting>
  <dataValidations count="2">
    <dataValidation allowBlank="true" errorStyle="stop" operator="between" showDropDown="false" showErrorMessage="false" showInputMessage="false" sqref="B26:B29 F26:F29" type="list">
      <formula1>"Checked,Open,N/A"</formula1>
      <formula2>0</formula2>
    </dataValidation>
    <dataValidation allowBlank="true" errorStyle="stop" operator="between" showDropDown="false" showErrorMessage="false" showInputMessage="false" sqref="B32" type="list">
      <formula1>"Pursue,Pursue at a lower price,Pursue with a different structure,Pass"</formula1>
      <formula2>0</formula2>
    </dataValidation>
  </dataValidations>
  <printOptions headings="false" gridLines="false" gridLinesSet="true" horizontalCentered="true" verticalCentered="false"/>
  <pageMargins left="0.4" right="0.4"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&amp;C&amp;8 From Listing to Offer | Simon Asselin, relea.ai | Educational use only, not financial advice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2026-09-12T22:57:04Z</dcterms:created>
  <dc:creator>Simon Asselin, relea.ai</dc:creator>
  <dc:description/>
  <dc:language>en-US</dc:language>
  <cp:lastModifiedBy/>
  <dcterms:modified xsi:type="dcterms:W3CDTF">2026-09-12T22:57:04Z</dcterms:modified>
  <cp:revision>0</cp:revision>
  <dc:subject/>
  <dc:title>From Listing to Offer: Underwriting Template</dc:title>
</cp:coreProperties>
</file>

<file path=docProps/custom.xml><?xml version="1.0" encoding="utf-8"?>
<Properties xmlns="http://schemas.openxmlformats.org/officeDocument/2006/custom-properties" xmlns:vt="http://schemas.openxmlformats.org/officeDocument/2006/docPropsVTypes"/>
</file>